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ći dio" sheetId="1" r:id="rId1"/>
    <sheet name="Prihodi i primici" sheetId="2" r:id="rId2"/>
    <sheet name="Rashodi i izdaci" sheetId="3" r:id="rId3"/>
  </sheets>
  <definedNames>
    <definedName name="_xlnm.Print_Titles" localSheetId="2">'Rashodi i izdaci'!$1:$2</definedName>
  </definedNames>
  <calcPr fullCalcOnLoad="1"/>
</workbook>
</file>

<file path=xl/sharedStrings.xml><?xml version="1.0" encoding="utf-8"?>
<sst xmlns="http://schemas.openxmlformats.org/spreadsheetml/2006/main" count="387" uniqueCount="188">
  <si>
    <r>
      <t xml:space="preserve">PRORAČUN ZA 2023. GODINU
</t>
    </r>
    <r>
      <rPr>
        <b/>
        <sz val="10"/>
        <color indexed="8"/>
        <rFont val="Arial"/>
        <family val="2"/>
      </rPr>
      <t xml:space="preserve">ISTARSKA ŽUPANIJA
</t>
    </r>
    <r>
      <rPr>
        <b/>
        <sz val="10"/>
        <color indexed="8"/>
        <rFont val="Arial"/>
        <family val="2"/>
      </rPr>
      <t xml:space="preserve">RAZDJEL 009 UPRAVNI ODJEL ZA OBRAZOVANJE, SPORT I TEHNIČKU KULTURU
</t>
    </r>
    <r>
      <rPr>
        <b/>
        <sz val="10"/>
        <color indexed="8"/>
        <rFont val="Arial"/>
        <family val="2"/>
      </rPr>
      <t>PRORAČUNSKI KORISNIK 17396 Turističko-ugostiteljska škola Antona Štifanića, Poreč</t>
    </r>
  </si>
  <si>
    <t>POZICIJA</t>
  </si>
  <si>
    <t>RAČUN</t>
  </si>
  <si>
    <t>OPIS</t>
  </si>
  <si>
    <t>RAZLIKA</t>
  </si>
  <si>
    <t>PRORAČUN  2023</t>
  </si>
  <si>
    <t>PROJEKCIJA 2024</t>
  </si>
  <si>
    <t>PROJEKCIJA 2025</t>
  </si>
  <si>
    <t>00903</t>
  </si>
  <si>
    <t>SREDNJEŠKOLSKE USTANOVE</t>
  </si>
  <si>
    <t xml:space="preserve">17396 </t>
  </si>
  <si>
    <t>Turističko-ugostiteljska škola Antona Štifanića, Poreč</t>
  </si>
  <si>
    <t>2201</t>
  </si>
  <si>
    <t>Redovna djelatnost srednjih škola - minimalni standard</t>
  </si>
  <si>
    <t>Funkcija 0921</t>
  </si>
  <si>
    <t>A220101</t>
  </si>
  <si>
    <t>Materijalni rashodi SŠ po kriterijima</t>
  </si>
  <si>
    <t>3</t>
  </si>
  <si>
    <t>RASHODI POSLOVANJA</t>
  </si>
  <si>
    <t>32</t>
  </si>
  <si>
    <t>MATERIJALNI RASHODI</t>
  </si>
  <si>
    <t>34</t>
  </si>
  <si>
    <t>FINANCIJSKI RASHODI</t>
  </si>
  <si>
    <t>A220102</t>
  </si>
  <si>
    <t>Materijalni rashodi SŠ po stvarnom trošku</t>
  </si>
  <si>
    <t>A220104</t>
  </si>
  <si>
    <t>Plaće i drugi rashodi za zaposlene srednjih škola</t>
  </si>
  <si>
    <t>31</t>
  </si>
  <si>
    <t>RASHODI ZA ZAPOSLENE</t>
  </si>
  <si>
    <t>2301</t>
  </si>
  <si>
    <t>Programi obrazovanja iznad standarda</t>
  </si>
  <si>
    <t>Funkcija 0950</t>
  </si>
  <si>
    <t>A230101</t>
  </si>
  <si>
    <t>Materijalni troškovi iznad standarda</t>
  </si>
  <si>
    <t>4</t>
  </si>
  <si>
    <t>RASHODI ZA NABAVU NEFINANCIJSKE IMOVINE</t>
  </si>
  <si>
    <t>42</t>
  </si>
  <si>
    <t>RASHODI ZA NABAVU PROIZVEDENE DUGOTRAJNE IMOVINE</t>
  </si>
  <si>
    <t>A230104</t>
  </si>
  <si>
    <t>POMOĆNICI U NASTAVI</t>
  </si>
  <si>
    <t>A230108</t>
  </si>
  <si>
    <t>Učenje stranog jezika</t>
  </si>
  <si>
    <t>A230115</t>
  </si>
  <si>
    <t>Ostali programi i projekti</t>
  </si>
  <si>
    <t>A230165</t>
  </si>
  <si>
    <t>Učenički servis</t>
  </si>
  <si>
    <t>A230168</t>
  </si>
  <si>
    <t>EU projekti kod proračunskih korisnika</t>
  </si>
  <si>
    <t>A230169</t>
  </si>
  <si>
    <t>Obrazovanje odraslih</t>
  </si>
  <si>
    <t>A230170</t>
  </si>
  <si>
    <t>Učenička zadruga</t>
  </si>
  <si>
    <t>Funkcija 0912</t>
  </si>
  <si>
    <t>A230184</t>
  </si>
  <si>
    <t>Zavičajna nastava</t>
  </si>
  <si>
    <t>2402</t>
  </si>
  <si>
    <t>Investicijsko održavanje srednjih škola</t>
  </si>
  <si>
    <t>A240201</t>
  </si>
  <si>
    <t>Investicijsko održavanje SŠ -minimalni standard</t>
  </si>
  <si>
    <t>A240202</t>
  </si>
  <si>
    <t>Investicijsko održavanje SŠ- iznad standarda</t>
  </si>
  <si>
    <t>2404</t>
  </si>
  <si>
    <t>Kapitalna ulaganja u srednje škole</t>
  </si>
  <si>
    <t>K240401</t>
  </si>
  <si>
    <t>Projektna dokumentacija srednjih škola</t>
  </si>
  <si>
    <t>41</t>
  </si>
  <si>
    <t>RASHODI ZA NABAVU NEPROIZVED.DUGOTRAJNE IMOVINE</t>
  </si>
  <si>
    <t>2406</t>
  </si>
  <si>
    <t>Opremanje u srednjim školama</t>
  </si>
  <si>
    <t>K240601</t>
  </si>
  <si>
    <t>Školski namještaj i oprema</t>
  </si>
  <si>
    <t>K240602</t>
  </si>
  <si>
    <t>Opremanje biblioteke</t>
  </si>
  <si>
    <t>Funkcija 0980</t>
  </si>
  <si>
    <t>K240604</t>
  </si>
  <si>
    <t>Opremanje kabineta</t>
  </si>
  <si>
    <t>9108</t>
  </si>
  <si>
    <t>MOZAIK 4</t>
  </si>
  <si>
    <t>T910801</t>
  </si>
  <si>
    <t>Provedba projekta MOZAIK 4</t>
  </si>
  <si>
    <t>9211</t>
  </si>
  <si>
    <t>MOZAIK 5</t>
  </si>
  <si>
    <t>T921101</t>
  </si>
  <si>
    <t>Provedba projekta MOZAIK 5</t>
  </si>
  <si>
    <t>SVEUKUPNO</t>
  </si>
  <si>
    <t>17396 Turističko-ugostiteljska škola Antona Štifanića, Poreč</t>
  </si>
  <si>
    <t>IZVORI FINANCIRANJA</t>
  </si>
  <si>
    <t>NOVI PLAN</t>
  </si>
  <si>
    <t>11</t>
  </si>
  <si>
    <t>Nenamjenski prihodi i primici</t>
  </si>
  <si>
    <t>Vlastiti prihodi proračunskih korisnika</t>
  </si>
  <si>
    <t>48</t>
  </si>
  <si>
    <t>Decentralizirana sredstva</t>
  </si>
  <si>
    <t>51</t>
  </si>
  <si>
    <t>Europska unija</t>
  </si>
  <si>
    <t>53</t>
  </si>
  <si>
    <t>Ministarstva i državne ustanove za proračunske korisnike</t>
  </si>
  <si>
    <t>55</t>
  </si>
  <si>
    <t>Gradovi i općine za proračunske korisnike</t>
  </si>
  <si>
    <t>58</t>
  </si>
  <si>
    <t>Ostale institucije za proračunske korisnike</t>
  </si>
  <si>
    <t>62</t>
  </si>
  <si>
    <t>Donacije za proračunske korisnike</t>
  </si>
  <si>
    <t>72</t>
  </si>
  <si>
    <t>Prihodi od prodaje imovine za proračunske korisnike</t>
  </si>
  <si>
    <t>UKUPNO</t>
  </si>
  <si>
    <t>PRORAČUN  2022</t>
  </si>
  <si>
    <t>Turističko ugostiteljska škola Antona Štifanića Poreč</t>
  </si>
  <si>
    <t>311</t>
  </si>
  <si>
    <t>PLAĆE (BRUTO)</t>
  </si>
  <si>
    <t>312</t>
  </si>
  <si>
    <t>OSTALI RASHODI ZA ZAPOSLENE</t>
  </si>
  <si>
    <t>313</t>
  </si>
  <si>
    <t>DOPRINOSI NA PLAĆE</t>
  </si>
  <si>
    <t>321</t>
  </si>
  <si>
    <t>NAKNADE TROŠKOVA ZAPOSLENIMA</t>
  </si>
  <si>
    <t>322</t>
  </si>
  <si>
    <t>RASHODI ZA MATERIJAL I ENERG.</t>
  </si>
  <si>
    <t>323</t>
  </si>
  <si>
    <t>RASHODI ZA USLUGE</t>
  </si>
  <si>
    <t>NAKNADE TROŠKOVA OSOBAMA IZVAN RADNOG ODNOSA</t>
  </si>
  <si>
    <t>329</t>
  </si>
  <si>
    <t>OST.NESPOM.RASHODI POSLOVANJA</t>
  </si>
  <si>
    <t>343</t>
  </si>
  <si>
    <t>OSTALI FINANCIJSKI RASHODI</t>
  </si>
  <si>
    <t>RASHODI ZA NABAVU PROIZVEDENE DUG. IMOVINE</t>
  </si>
  <si>
    <t>422</t>
  </si>
  <si>
    <t>POSTROJENJA I OPREMA</t>
  </si>
  <si>
    <t>6+7</t>
  </si>
  <si>
    <t>PRIHODI POSLOVANJA</t>
  </si>
  <si>
    <t>PRIHODI IZ PRORAČUNA</t>
  </si>
  <si>
    <t>Prihodi iz proračuna za financ.redovne djelatnosti MZO</t>
  </si>
  <si>
    <t xml:space="preserve">Prihodi iz proračuna Grad Poreč </t>
  </si>
  <si>
    <t>Prihodi iz proračuna Grad Novigrad</t>
  </si>
  <si>
    <t>Prihodi iz EU - Mozaik (asistenti u nastavi)</t>
  </si>
  <si>
    <t>Prihodi iz EU - Erasmus+ projekti</t>
  </si>
  <si>
    <t>PRIHODI OD IMOVINE</t>
  </si>
  <si>
    <t>Prihodi od financijske imovine - kamate a vista</t>
  </si>
  <si>
    <t>Prihodi od pruženih usluga - Posredništvo</t>
  </si>
  <si>
    <t>Prihodi od pruženih usluga - Obrazovanje odraslih</t>
  </si>
  <si>
    <t>Prihodi od prodaje vlastitih proizvoda - Zadruga</t>
  </si>
  <si>
    <t>PRIHODI OD DONACIJA</t>
  </si>
  <si>
    <t>Prihodi od ostalih trgovačkih društva</t>
  </si>
  <si>
    <t>Prihodi iz proračuna za financ.redovne djelatnosti IŽ</t>
  </si>
  <si>
    <t>PRIHODI OD PRODAJE</t>
  </si>
  <si>
    <t>Prihodi od prodaje građ. Objekata - Stanarsko Pravo</t>
  </si>
  <si>
    <t>ISTARSKA ŽUPANIJA</t>
  </si>
  <si>
    <t xml:space="preserve">TURISTIČKO UGOSTITELJSKA ŠKOLA ANTONA ŠTIFANIĆA POREČ    </t>
  </si>
  <si>
    <t>Prvomajska 6, Poreč</t>
  </si>
  <si>
    <t>OIB 25253841250</t>
  </si>
  <si>
    <t>Na temelju članka 201. Statuta Turističko ugostiteljske škole Antona Štifanića Poreč, Školski odbor na sjednici  održanoj dana</t>
  </si>
  <si>
    <t>PRIHODI UKUPNO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</si>
  <si>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</si>
  <si>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</si>
  <si>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</si>
  <si>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</si>
  <si>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</si>
  <si>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</si>
  <si>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</si>
  <si>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</si>
  <si>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</si>
  <si>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</si>
  <si>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2021-euro</t>
  </si>
  <si>
    <t>IZVRŠENJE  2021-kuna</t>
  </si>
  <si>
    <t>OSTVARENJE 2021-euro</t>
  </si>
  <si>
    <t>OSTVARENJE 2021-kuna</t>
  </si>
  <si>
    <t>PLAN 2022-kuna</t>
  </si>
  <si>
    <t>PLAN  2022-kuna</t>
  </si>
  <si>
    <t>PLAN 2022-euro</t>
  </si>
  <si>
    <t>PLAN  2022-euro</t>
  </si>
  <si>
    <t>PRORAČUN 2023</t>
  </si>
  <si>
    <t>IZVRŠENJE 2021- kune</t>
  </si>
  <si>
    <t>PLAN 2022-kune</t>
  </si>
  <si>
    <t>RASHODI ZA NABAVU NEPROIZ. DUG. IM.</t>
  </si>
  <si>
    <t>NEMATERIJALNA IMOVINA</t>
  </si>
  <si>
    <t>FINANCIJSKI PLAN ZA 2023. GODINU I PROJEKCIJE ZA 2024. I 2025. GODINU PRIHODI I PRIMICI ISKAZANI PO VRSTAMA  - POSEBNI DIO</t>
  </si>
  <si>
    <t>IZVRŠENJE 2021 - kune</t>
  </si>
  <si>
    <t>IZVRŠENJE 2021 - euro</t>
  </si>
  <si>
    <t>PLAN 2022 - kune</t>
  </si>
  <si>
    <t>PLAN 2022 - euro</t>
  </si>
  <si>
    <t>FINANCIJSKI PLAN ZA 2023. GODINU I PROJEKCIJE ZA 2024. I 2025. GODINU - PRIHODI I PRIMICI ISKAZANI PO VRSTAMA  - POSEBNI DIO</t>
  </si>
  <si>
    <t>FINANCIJSKI PLAN TURISTIČKO UGOSTITELJSKE ŠKOLE ANTONA ŠTIFANIĆA POREČ ZA 2023. GODINU I PROJEKCIJE ZA 2024. I 2025. GODINU</t>
  </si>
  <si>
    <t>URBROJ: 2167-3-01-22-1</t>
  </si>
  <si>
    <t>23.12.2022. donio je:</t>
  </si>
  <si>
    <t>Predsjednica Školskog odbora :</t>
  </si>
  <si>
    <t>Blaženka Tomić, prof.</t>
  </si>
  <si>
    <t>KLASA: 400-02/22-01/03</t>
  </si>
  <si>
    <t>PRORAČUN ZA 2023. GODINU
ISTARSKA ŽUPANIJA
RAZDJEL 009 UPRAVNI ODJEL ZA OBRAZOVANJE, SPORT I TEHNIČKU KULTURU
PRORAČUNSKI KORISNIK 17396 Turističko-ugostiteljska škola Antona Štifanića, Poreč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</si>
</sst>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_ ;\-#,##0.00\ "/>
  </numFmts>
  <fonts count="54"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13"/>
      <name val="Arial"/>
      <family val="2"/>
    </font>
    <font>
      <sz val="9"/>
      <color indexed="13"/>
      <name val="Arial"/>
      <family val="2"/>
    </font>
    <font>
      <i/>
      <sz val="8"/>
      <color indexed="13"/>
      <name val="Arial"/>
      <family val="2"/>
    </font>
    <font>
      <b/>
      <sz val="8"/>
      <color indexed="8"/>
      <name val="Arial"/>
      <family val="2"/>
    </font>
    <font>
      <sz val="8"/>
      <color indexed="1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11"/>
      </top>
      <bottom style="thin">
        <color indexed="1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11"/>
      </top>
      <bottom style="thin">
        <color indexed="1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1" xfId="0" applyFont="1" applyFill="1" applyBorder="1" applyAlignment="1" applyProtection="1">
      <alignment horizontal="center" vertical="center" wrapText="1" readingOrder="1"/>
      <protection locked="0"/>
    </xf>
    <xf numFmtId="0" fontId="3" fillId="34" borderId="12" xfId="0" applyFont="1" applyFill="1" applyBorder="1" applyAlignment="1" applyProtection="1">
      <alignment horizontal="center" vertical="center" wrapText="1" readingOrder="1"/>
      <protection locked="0"/>
    </xf>
    <xf numFmtId="0" fontId="3" fillId="34" borderId="13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185" fontId="5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7" fillId="34" borderId="14" xfId="0" applyFont="1" applyFill="1" applyBorder="1" applyAlignment="1" applyProtection="1">
      <alignment horizontal="left" vertical="center" wrapText="1" readingOrder="1"/>
      <protection locked="0"/>
    </xf>
    <xf numFmtId="0" fontId="7" fillId="34" borderId="14" xfId="0" applyFont="1" applyFill="1" applyBorder="1" applyAlignment="1" applyProtection="1">
      <alignment horizontal="right" vertical="center" wrapText="1" readingOrder="1"/>
      <protection locked="0"/>
    </xf>
    <xf numFmtId="0" fontId="8" fillId="34" borderId="0" xfId="0" applyFont="1" applyFill="1" applyAlignment="1" applyProtection="1">
      <alignment horizontal="left" vertical="top" wrapText="1" readingOrder="1"/>
      <protection locked="0"/>
    </xf>
    <xf numFmtId="0" fontId="8" fillId="34" borderId="0" xfId="0" applyFont="1" applyFill="1" applyAlignment="1" applyProtection="1">
      <alignment horizontal="right" vertical="top" wrapText="1" readingOrder="1"/>
      <protection locked="0"/>
    </xf>
    <xf numFmtId="185" fontId="6" fillId="34" borderId="0" xfId="0" applyNumberFormat="1" applyFont="1" applyFill="1" applyAlignment="1" applyProtection="1">
      <alignment horizontal="right" vertical="top" wrapText="1" readingOrder="1"/>
      <protection locked="0"/>
    </xf>
    <xf numFmtId="0" fontId="9" fillId="34" borderId="0" xfId="0" applyFont="1" applyFill="1" applyAlignment="1" applyProtection="1">
      <alignment horizontal="left" vertical="top" wrapText="1" readingOrder="1"/>
      <protection locked="0"/>
    </xf>
    <xf numFmtId="185" fontId="9" fillId="34" borderId="0" xfId="0" applyNumberFormat="1" applyFont="1" applyFill="1" applyAlignment="1" applyProtection="1">
      <alignment horizontal="right" vertical="top" wrapText="1" readingOrder="1"/>
      <protection locked="0"/>
    </xf>
    <xf numFmtId="0" fontId="2" fillId="34" borderId="0" xfId="0" applyFont="1" applyFill="1" applyAlignment="1" applyProtection="1">
      <alignment horizontal="left" vertical="top" wrapText="1" readingOrder="1"/>
      <protection locked="0"/>
    </xf>
    <xf numFmtId="185" fontId="2" fillId="34" borderId="0" xfId="0" applyNumberFormat="1" applyFont="1" applyFill="1" applyAlignment="1" applyProtection="1">
      <alignment horizontal="right" vertical="top" wrapText="1" readingOrder="1"/>
      <protection locked="0"/>
    </xf>
    <xf numFmtId="185" fontId="10" fillId="0" borderId="0" xfId="0" applyNumberFormat="1" applyFont="1" applyAlignment="1" applyProtection="1">
      <alignment horizontal="right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2" fillId="34" borderId="16" xfId="0" applyFont="1" applyFill="1" applyBorder="1" applyAlignment="1" applyProtection="1">
      <alignment horizontal="center" vertical="center" wrapText="1" readingOrder="1"/>
      <protection locked="0"/>
    </xf>
    <xf numFmtId="0" fontId="2" fillId="34" borderId="17" xfId="0" applyFont="1" applyFill="1" applyBorder="1" applyAlignment="1" applyProtection="1">
      <alignment horizontal="center" vertical="center" wrapText="1" readingOrder="1"/>
      <protection locked="0"/>
    </xf>
    <xf numFmtId="0" fontId="2" fillId="35" borderId="0" xfId="0" applyFont="1" applyFill="1" applyAlignment="1" applyProtection="1">
      <alignment horizontal="center" vertical="center" wrapText="1" readingOrder="1"/>
      <protection locked="0"/>
    </xf>
    <xf numFmtId="0" fontId="2" fillId="36" borderId="17" xfId="0" applyFont="1" applyFill="1" applyBorder="1" applyAlignment="1" applyProtection="1">
      <alignment horizontal="center" vertical="center" wrapText="1" readingOrder="1"/>
      <protection locked="0"/>
    </xf>
    <xf numFmtId="0" fontId="13" fillId="36" borderId="17" xfId="0" applyFont="1" applyFill="1" applyBorder="1" applyAlignment="1" applyProtection="1">
      <alignment horizontal="left" vertical="center" wrapText="1" readingOrder="1"/>
      <protection locked="0"/>
    </xf>
    <xf numFmtId="186" fontId="2" fillId="36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7" borderId="17" xfId="0" applyFont="1" applyFill="1" applyBorder="1" applyAlignment="1" applyProtection="1">
      <alignment horizontal="left" vertical="center" wrapText="1" readingOrder="1"/>
      <protection locked="0"/>
    </xf>
    <xf numFmtId="186" fontId="2" fillId="37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5" borderId="17" xfId="0" applyFont="1" applyFill="1" applyBorder="1" applyAlignment="1" applyProtection="1">
      <alignment horizontal="left" vertical="center" wrapText="1" readingOrder="1"/>
      <protection locked="0"/>
    </xf>
    <xf numFmtId="186" fontId="2" fillId="35" borderId="17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35" borderId="17" xfId="0" applyNumberFormat="1" applyFont="1" applyFill="1" applyBorder="1" applyAlignment="1" applyProtection="1">
      <alignment horizontal="center" vertical="center" wrapText="1" readingOrder="1"/>
      <protection locked="0"/>
    </xf>
    <xf numFmtId="185" fontId="2" fillId="35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3" borderId="0" xfId="0" applyFont="1" applyFill="1" applyAlignment="1" applyProtection="1">
      <alignment horizontal="left" vertical="top" wrapText="1" readingOrder="1"/>
      <protection locked="0"/>
    </xf>
    <xf numFmtId="2" fontId="2" fillId="35" borderId="17" xfId="0" applyNumberFormat="1" applyFont="1" applyFill="1" applyBorder="1" applyAlignment="1" applyProtection="1">
      <alignment horizontal="center" vertical="center" wrapText="1" readingOrder="1"/>
      <protection locked="0"/>
    </xf>
    <xf numFmtId="185" fontId="2" fillId="37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0" xfId="50" applyFont="1">
      <alignment/>
      <protection/>
    </xf>
    <xf numFmtId="0" fontId="0" fillId="0" borderId="0" xfId="50">
      <alignment/>
      <protection/>
    </xf>
    <xf numFmtId="0" fontId="14" fillId="38" borderId="17" xfId="50" applyFont="1" applyFill="1" applyBorder="1" applyAlignment="1">
      <alignment horizontal="center" wrapText="1"/>
      <protection/>
    </xf>
    <xf numFmtId="0" fontId="0" fillId="0" borderId="17" xfId="50" applyBorder="1">
      <alignment/>
      <protection/>
    </xf>
    <xf numFmtId="4" fontId="0" fillId="0" borderId="17" xfId="50" applyNumberFormat="1" applyBorder="1">
      <alignment/>
      <protection/>
    </xf>
    <xf numFmtId="4" fontId="0" fillId="39" borderId="17" xfId="50" applyNumberFormat="1" applyFill="1" applyBorder="1">
      <alignment/>
      <protection/>
    </xf>
    <xf numFmtId="0" fontId="0" fillId="14" borderId="17" xfId="50" applyFill="1" applyBorder="1">
      <alignment/>
      <protection/>
    </xf>
    <xf numFmtId="4" fontId="0" fillId="14" borderId="17" xfId="50" applyNumberFormat="1" applyFill="1" applyBorder="1">
      <alignment/>
      <protection/>
    </xf>
    <xf numFmtId="0" fontId="16" fillId="0" borderId="0" xfId="50" applyFont="1">
      <alignment/>
      <protection/>
    </xf>
    <xf numFmtId="0" fontId="15" fillId="0" borderId="0" xfId="50" applyFont="1">
      <alignment/>
      <protection/>
    </xf>
    <xf numFmtId="0" fontId="15" fillId="0" borderId="0" xfId="50" applyFont="1" applyAlignment="1">
      <alignment horizontal="center"/>
      <protection/>
    </xf>
    <xf numFmtId="0" fontId="15" fillId="0" borderId="17" xfId="50" applyFont="1" applyBorder="1" applyAlignment="1">
      <alignment horizontal="center" vertical="center" wrapText="1"/>
      <protection/>
    </xf>
    <xf numFmtId="0" fontId="0" fillId="6" borderId="17" xfId="50" applyFill="1" applyBorder="1">
      <alignment/>
      <protection/>
    </xf>
    <xf numFmtId="4" fontId="0" fillId="6" borderId="17" xfId="50" applyNumberFormat="1" applyFill="1" applyBorder="1">
      <alignment/>
      <protection/>
    </xf>
    <xf numFmtId="186" fontId="2" fillId="36" borderId="18" xfId="0" applyNumberFormat="1" applyFont="1" applyFill="1" applyBorder="1" applyAlignment="1" applyProtection="1">
      <alignment horizontal="center" vertical="center" wrapText="1" readingOrder="1"/>
      <protection locked="0"/>
    </xf>
    <xf numFmtId="186" fontId="2" fillId="37" borderId="18" xfId="0" applyNumberFormat="1" applyFont="1" applyFill="1" applyBorder="1" applyAlignment="1" applyProtection="1">
      <alignment horizontal="center" vertical="center" wrapText="1" readingOrder="1"/>
      <protection locked="0"/>
    </xf>
    <xf numFmtId="186" fontId="2" fillId="35" borderId="18" xfId="0" applyNumberFormat="1" applyFont="1" applyFill="1" applyBorder="1" applyAlignment="1" applyProtection="1">
      <alignment horizontal="center" vertical="center" wrapText="1" readingOrder="1"/>
      <protection locked="0"/>
    </xf>
    <xf numFmtId="185" fontId="2" fillId="35" borderId="18" xfId="0" applyNumberFormat="1" applyFont="1" applyFill="1" applyBorder="1" applyAlignment="1" applyProtection="1">
      <alignment horizontal="center" vertical="center" wrapText="1" readingOrder="1"/>
      <protection locked="0"/>
    </xf>
    <xf numFmtId="185" fontId="2" fillId="37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4" fillId="40" borderId="10" xfId="0" applyFont="1" applyFill="1" applyBorder="1" applyAlignment="1" applyProtection="1">
      <alignment horizontal="left" vertical="top" wrapText="1" readingOrder="1"/>
      <protection locked="0"/>
    </xf>
    <xf numFmtId="185" fontId="4" fillId="40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41" borderId="17" xfId="0" applyFont="1" applyFill="1" applyBorder="1" applyAlignment="1" applyProtection="1">
      <alignment horizontal="left" vertical="center" wrapText="1" readingOrder="1"/>
      <protection locked="0"/>
    </xf>
    <xf numFmtId="186" fontId="2" fillId="41" borderId="17" xfId="0" applyNumberFormat="1" applyFont="1" applyFill="1" applyBorder="1" applyAlignment="1" applyProtection="1">
      <alignment horizontal="center" vertical="center" wrapText="1" readingOrder="1"/>
      <protection locked="0"/>
    </xf>
    <xf numFmtId="186" fontId="2" fillId="41" borderId="18" xfId="0" applyNumberFormat="1" applyFont="1" applyFill="1" applyBorder="1" applyAlignment="1" applyProtection="1">
      <alignment horizontal="center" vertical="center" wrapText="1" readingOrder="1"/>
      <protection locked="0"/>
    </xf>
    <xf numFmtId="2" fontId="0" fillId="0" borderId="0" xfId="0" applyNumberFormat="1" applyAlignment="1">
      <alignment/>
    </xf>
    <xf numFmtId="0" fontId="9" fillId="36" borderId="19" xfId="0" applyFont="1" applyFill="1" applyBorder="1" applyAlignment="1" applyProtection="1">
      <alignment horizontal="left" vertical="top" wrapText="1" readingOrder="1"/>
      <protection locked="0"/>
    </xf>
    <xf numFmtId="185" fontId="9" fillId="36" borderId="19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42" borderId="20" xfId="0" applyFont="1" applyFill="1" applyBorder="1" applyAlignment="1" applyProtection="1">
      <alignment horizontal="left" vertical="top" wrapText="1" readingOrder="1"/>
      <protection locked="0"/>
    </xf>
    <xf numFmtId="185" fontId="6" fillId="42" borderId="20" xfId="0" applyNumberFormat="1" applyFont="1" applyFill="1" applyBorder="1" applyAlignment="1" applyProtection="1">
      <alignment horizontal="right" vertical="top" wrapText="1" readingOrder="1"/>
      <protection locked="0"/>
    </xf>
    <xf numFmtId="185" fontId="6" fillId="42" borderId="20" xfId="0" applyNumberFormat="1" applyFont="1" applyFill="1" applyBorder="1" applyAlignment="1" applyProtection="1">
      <alignment horizontal="right" vertical="top" wrapText="1" readingOrder="1"/>
      <protection locked="0"/>
    </xf>
    <xf numFmtId="0" fontId="14" fillId="0" borderId="17" xfId="0" applyFont="1" applyBorder="1" applyAlignment="1" applyProtection="1">
      <alignment vertical="center" wrapText="1" readingOrder="1"/>
      <protection locked="0"/>
    </xf>
    <xf numFmtId="185" fontId="14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14" fillId="34" borderId="21" xfId="0" applyFont="1" applyFill="1" applyBorder="1" applyAlignment="1" applyProtection="1">
      <alignment horizontal="right" vertical="center" wrapText="1" readingOrder="1"/>
      <protection locked="0"/>
    </xf>
    <xf numFmtId="185" fontId="14" fillId="0" borderId="22" xfId="0" applyNumberFormat="1" applyFont="1" applyBorder="1" applyAlignment="1" applyProtection="1">
      <alignment horizontal="right" vertical="top" wrapText="1" readingOrder="1"/>
      <protection locked="0"/>
    </xf>
    <xf numFmtId="185" fontId="14" fillId="0" borderId="23" xfId="0" applyNumberFormat="1" applyFont="1" applyBorder="1" applyAlignment="1" applyProtection="1">
      <alignment horizontal="right" vertical="top" wrapText="1" readingOrder="1"/>
      <protection locked="0"/>
    </xf>
    <xf numFmtId="185" fontId="14" fillId="0" borderId="24" xfId="0" applyNumberFormat="1" applyFont="1" applyBorder="1" applyAlignment="1" applyProtection="1">
      <alignment horizontal="right" vertical="center" wrapText="1" readingOrder="1"/>
      <protection locked="0"/>
    </xf>
    <xf numFmtId="2" fontId="14" fillId="34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14" fillId="34" borderId="21" xfId="0" applyFont="1" applyFill="1" applyBorder="1" applyAlignment="1" applyProtection="1">
      <alignment horizontal="left" vertical="center" wrapText="1" readingOrder="1"/>
      <protection locked="0"/>
    </xf>
    <xf numFmtId="0" fontId="14" fillId="34" borderId="21" xfId="0" applyFont="1" applyFill="1" applyBorder="1" applyAlignment="1" applyProtection="1">
      <alignment horizontal="center" vertical="center" wrapText="1" readingOrder="1"/>
      <protection locked="0"/>
    </xf>
    <xf numFmtId="185" fontId="14" fillId="0" borderId="24" xfId="0" applyNumberFormat="1" applyFont="1" applyBorder="1" applyAlignment="1" applyProtection="1">
      <alignment horizontal="right" vertical="top" wrapText="1" readingOrder="1"/>
      <protection locked="0"/>
    </xf>
    <xf numFmtId="0" fontId="14" fillId="0" borderId="0" xfId="0" applyFont="1" applyBorder="1" applyAlignment="1" applyProtection="1">
      <alignment vertical="top" wrapText="1" readingOrder="1"/>
      <protection locked="0"/>
    </xf>
    <xf numFmtId="0" fontId="14" fillId="0" borderId="25" xfId="0" applyFont="1" applyBorder="1" applyAlignment="1" applyProtection="1">
      <alignment vertical="top" wrapText="1" readingOrder="1"/>
      <protection locked="0"/>
    </xf>
    <xf numFmtId="4" fontId="14" fillId="0" borderId="22" xfId="0" applyNumberFormat="1" applyFont="1" applyBorder="1" applyAlignment="1">
      <alignment/>
    </xf>
    <xf numFmtId="4" fontId="14" fillId="0" borderId="17" xfId="0" applyNumberFormat="1" applyFont="1" applyBorder="1" applyAlignment="1">
      <alignment/>
    </xf>
    <xf numFmtId="4" fontId="52" fillId="43" borderId="26" xfId="0" applyNumberFormat="1" applyFont="1" applyFill="1" applyBorder="1" applyAlignment="1" applyProtection="1">
      <alignment vertical="top" wrapText="1"/>
      <protection locked="0"/>
    </xf>
    <xf numFmtId="4" fontId="0" fillId="0" borderId="26" xfId="0" applyNumberFormat="1" applyBorder="1" applyAlignment="1" applyProtection="1">
      <alignment vertical="top" wrapText="1"/>
      <protection locked="0"/>
    </xf>
    <xf numFmtId="4" fontId="14" fillId="44" borderId="27" xfId="0" applyNumberFormat="1" applyFont="1" applyFill="1" applyBorder="1" applyAlignment="1" applyProtection="1">
      <alignment vertical="top" wrapText="1"/>
      <protection locked="0"/>
    </xf>
    <xf numFmtId="4" fontId="0" fillId="0" borderId="14" xfId="0" applyNumberFormat="1" applyBorder="1" applyAlignment="1" applyProtection="1">
      <alignment vertical="top" wrapText="1"/>
      <protection locked="0"/>
    </xf>
    <xf numFmtId="4" fontId="0" fillId="0" borderId="0" xfId="0" applyNumberFormat="1" applyAlignment="1">
      <alignment/>
    </xf>
    <xf numFmtId="4" fontId="14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" fontId="14" fillId="44" borderId="0" xfId="0" applyNumberFormat="1" applyFont="1" applyFill="1" applyAlignment="1">
      <alignment/>
    </xf>
    <xf numFmtId="4" fontId="53" fillId="0" borderId="0" xfId="0" applyNumberFormat="1" applyFont="1" applyAlignment="1">
      <alignment/>
    </xf>
    <xf numFmtId="4" fontId="14" fillId="0" borderId="0" xfId="0" applyNumberFormat="1" applyFont="1" applyAlignment="1">
      <alignment vertical="top"/>
    </xf>
    <xf numFmtId="4" fontId="14" fillId="45" borderId="0" xfId="0" applyNumberFormat="1" applyFont="1" applyFill="1" applyAlignment="1">
      <alignment/>
    </xf>
    <xf numFmtId="186" fontId="2" fillId="35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5" borderId="24" xfId="0" applyFont="1" applyFill="1" applyBorder="1" applyAlignment="1" applyProtection="1">
      <alignment horizontal="center" vertical="center" wrapText="1" readingOrder="1"/>
      <protection locked="0"/>
    </xf>
    <xf numFmtId="0" fontId="2" fillId="37" borderId="24" xfId="0" applyFont="1" applyFill="1" applyBorder="1" applyAlignment="1" applyProtection="1">
      <alignment horizontal="center" vertical="center" wrapText="1" readingOrder="1"/>
      <protection locked="0"/>
    </xf>
    <xf numFmtId="186" fontId="2" fillId="37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7" borderId="17" xfId="0" applyFont="1" applyFill="1" applyBorder="1" applyAlignment="1" applyProtection="1">
      <alignment horizontal="left" vertical="top" wrapText="1" readingOrder="1"/>
      <protection locked="0"/>
    </xf>
    <xf numFmtId="0" fontId="2" fillId="35" borderId="17" xfId="0" applyFont="1" applyFill="1" applyBorder="1" applyAlignment="1" applyProtection="1">
      <alignment horizontal="left" vertical="center" wrapText="1" readingOrder="1"/>
      <protection locked="0"/>
    </xf>
    <xf numFmtId="4" fontId="2" fillId="37" borderId="17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41" borderId="17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36" borderId="17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36" borderId="17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41" borderId="17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37" borderId="17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35" borderId="17" xfId="0" applyNumberFormat="1" applyFont="1" applyFill="1" applyBorder="1" applyAlignment="1" applyProtection="1">
      <alignment horizontal="center" vertical="center" wrapText="1" readingOrder="1"/>
      <protection locked="0"/>
    </xf>
    <xf numFmtId="4" fontId="14" fillId="0" borderId="17" xfId="0" applyNumberFormat="1" applyFont="1" applyBorder="1" applyAlignment="1">
      <alignment horizontal="center"/>
    </xf>
    <xf numFmtId="4" fontId="14" fillId="6" borderId="17" xfId="0" applyNumberFormat="1" applyFont="1" applyFill="1" applyBorder="1" applyAlignment="1">
      <alignment horizontal="center"/>
    </xf>
    <xf numFmtId="4" fontId="14" fillId="18" borderId="17" xfId="0" applyNumberFormat="1" applyFont="1" applyFill="1" applyBorder="1" applyAlignment="1">
      <alignment horizontal="center"/>
    </xf>
    <xf numFmtId="4" fontId="14" fillId="39" borderId="17" xfId="0" applyNumberFormat="1" applyFont="1" applyFill="1" applyBorder="1" applyAlignment="1">
      <alignment horizontal="center"/>
    </xf>
    <xf numFmtId="186" fontId="2" fillId="37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 horizontal="center"/>
    </xf>
    <xf numFmtId="0" fontId="2" fillId="41" borderId="17" xfId="0" applyFont="1" applyFill="1" applyBorder="1" applyAlignment="1" applyProtection="1">
      <alignment horizontal="center" vertical="center" wrapText="1" readingOrder="1"/>
      <protection locked="0"/>
    </xf>
    <xf numFmtId="0" fontId="2" fillId="37" borderId="17" xfId="0" applyFont="1" applyFill="1" applyBorder="1" applyAlignment="1" applyProtection="1">
      <alignment horizontal="center" vertical="center" wrapText="1" readingOrder="1"/>
      <protection locked="0"/>
    </xf>
    <xf numFmtId="0" fontId="2" fillId="35" borderId="17" xfId="0" applyFont="1" applyFill="1" applyBorder="1" applyAlignment="1" applyProtection="1">
      <alignment horizontal="center" vertical="center" wrapText="1" readingOrder="1"/>
      <protection locked="0"/>
    </xf>
    <xf numFmtId="0" fontId="14" fillId="10" borderId="17" xfId="50" applyFont="1" applyFill="1" applyBorder="1">
      <alignment/>
      <protection/>
    </xf>
    <xf numFmtId="0" fontId="14" fillId="46" borderId="17" xfId="50" applyFont="1" applyFill="1" applyBorder="1">
      <alignment/>
      <protection/>
    </xf>
    <xf numFmtId="0" fontId="14" fillId="46" borderId="17" xfId="50" applyFont="1" applyFill="1" applyBorder="1" applyAlignment="1">
      <alignment horizontal="center" wrapText="1"/>
      <protection/>
    </xf>
    <xf numFmtId="0" fontId="0" fillId="39" borderId="17" xfId="50" applyFill="1" applyBorder="1" applyAlignment="1">
      <alignment horizontal="right"/>
      <protection/>
    </xf>
    <xf numFmtId="0" fontId="0" fillId="39" borderId="17" xfId="50" applyFill="1" applyBorder="1">
      <alignment/>
      <protection/>
    </xf>
    <xf numFmtId="0" fontId="0" fillId="8" borderId="17" xfId="50" applyFill="1" applyBorder="1">
      <alignment/>
      <protection/>
    </xf>
    <xf numFmtId="0" fontId="0" fillId="8" borderId="17" xfId="50" applyFont="1" applyFill="1" applyBorder="1">
      <alignment/>
      <protection/>
    </xf>
    <xf numFmtId="4" fontId="0" fillId="8" borderId="17" xfId="50" applyNumberFormat="1" applyFill="1" applyBorder="1">
      <alignment/>
      <protection/>
    </xf>
    <xf numFmtId="4" fontId="0" fillId="6" borderId="17" xfId="50" applyNumberFormat="1" applyFont="1" applyFill="1" applyBorder="1">
      <alignment/>
      <protection/>
    </xf>
    <xf numFmtId="4" fontId="0" fillId="0" borderId="17" xfId="50" applyNumberFormat="1" applyFont="1" applyBorder="1">
      <alignment/>
      <protection/>
    </xf>
    <xf numFmtId="0" fontId="0" fillId="0" borderId="17" xfId="50" applyBorder="1" applyAlignment="1">
      <alignment wrapText="1"/>
      <protection/>
    </xf>
    <xf numFmtId="0" fontId="15" fillId="0" borderId="17" xfId="50" applyFont="1" applyBorder="1" applyAlignment="1">
      <alignment horizontal="center" wrapText="1"/>
      <protection/>
    </xf>
    <xf numFmtId="0" fontId="15" fillId="0" borderId="17" xfId="50" applyFont="1" applyBorder="1" applyAlignment="1">
      <alignment horizontal="center" vertical="center"/>
      <protection/>
    </xf>
    <xf numFmtId="4" fontId="13" fillId="35" borderId="17" xfId="50" applyNumberFormat="1" applyFont="1" applyFill="1" applyBorder="1" applyAlignment="1" applyProtection="1">
      <alignment horizontal="right" vertical="center" wrapText="1" readingOrder="1"/>
      <protection locked="0"/>
    </xf>
    <xf numFmtId="4" fontId="0" fillId="0" borderId="0" xfId="50" applyNumberFormat="1">
      <alignment/>
      <protection/>
    </xf>
    <xf numFmtId="4" fontId="15" fillId="0" borderId="17" xfId="50" applyNumberFormat="1" applyFont="1" applyBorder="1" applyAlignment="1">
      <alignment horizontal="center" vertical="center" wrapText="1"/>
      <protection/>
    </xf>
    <xf numFmtId="4" fontId="15" fillId="0" borderId="17" xfId="50" applyNumberFormat="1" applyFont="1" applyBorder="1" applyAlignment="1">
      <alignment horizontal="center" vertical="center"/>
      <protection/>
    </xf>
    <xf numFmtId="4" fontId="15" fillId="0" borderId="17" xfId="50" applyNumberFormat="1" applyFont="1" applyBorder="1" applyAlignment="1">
      <alignment horizontal="center" wrapText="1"/>
      <protection/>
    </xf>
    <xf numFmtId="0" fontId="0" fillId="18" borderId="17" xfId="50" applyFill="1" applyBorder="1" applyAlignment="1">
      <alignment horizontal="right"/>
      <protection/>
    </xf>
    <xf numFmtId="0" fontId="0" fillId="18" borderId="17" xfId="50" applyFill="1" applyBorder="1">
      <alignment/>
      <protection/>
    </xf>
    <xf numFmtId="4" fontId="0" fillId="18" borderId="17" xfId="50" applyNumberFormat="1" applyFill="1" applyBorder="1">
      <alignment/>
      <protection/>
    </xf>
    <xf numFmtId="0" fontId="0" fillId="0" borderId="0" xfId="50" applyFont="1">
      <alignment/>
      <protection/>
    </xf>
    <xf numFmtId="0" fontId="11" fillId="0" borderId="28" xfId="50" applyFont="1" applyBorder="1" applyAlignment="1">
      <alignment horizontal="center" vertical="center" wrapText="1"/>
      <protection/>
    </xf>
    <xf numFmtId="0" fontId="11" fillId="0" borderId="29" xfId="50" applyFont="1" applyBorder="1" applyAlignment="1">
      <alignment horizontal="center" vertical="center" wrapText="1"/>
      <protection/>
    </xf>
    <xf numFmtId="0" fontId="11" fillId="0" borderId="30" xfId="50" applyFont="1" applyBorder="1" applyAlignment="1">
      <alignment horizontal="center" vertical="center" wrapText="1"/>
      <protection/>
    </xf>
    <xf numFmtId="0" fontId="11" fillId="0" borderId="0" xfId="50" applyFont="1">
      <alignment/>
      <protection/>
    </xf>
    <xf numFmtId="0" fontId="15" fillId="10" borderId="18" xfId="50" applyFont="1" applyFill="1" applyBorder="1" applyAlignment="1">
      <alignment horizontal="center"/>
      <protection/>
    </xf>
    <xf numFmtId="0" fontId="15" fillId="10" borderId="24" xfId="50" applyFont="1" applyFill="1" applyBorder="1" applyAlignment="1">
      <alignment horizontal="center"/>
      <protection/>
    </xf>
    <xf numFmtId="0" fontId="12" fillId="0" borderId="28" xfId="50" applyFont="1" applyBorder="1" applyAlignment="1">
      <alignment horizontal="center" vertical="center" wrapText="1"/>
      <protection/>
    </xf>
    <xf numFmtId="0" fontId="12" fillId="0" borderId="29" xfId="50" applyFont="1" applyBorder="1" applyAlignment="1">
      <alignment horizontal="center" vertical="center" wrapText="1"/>
      <protection/>
    </xf>
    <xf numFmtId="0" fontId="12" fillId="0" borderId="30" xfId="50" applyFont="1" applyBorder="1" applyAlignment="1">
      <alignment horizontal="center" vertical="center" wrapText="1"/>
      <protection/>
    </xf>
    <xf numFmtId="186" fontId="2" fillId="35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5" borderId="24" xfId="0" applyFont="1" applyFill="1" applyBorder="1" applyAlignment="1" applyProtection="1">
      <alignment horizontal="center" vertical="center" wrapText="1" readingOrder="1"/>
      <protection locked="0"/>
    </xf>
    <xf numFmtId="186" fontId="2" fillId="37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7" borderId="24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86" fontId="2" fillId="35" borderId="18" xfId="0" applyNumberFormat="1" applyFont="1" applyFill="1" applyBorder="1" applyAlignment="1" applyProtection="1">
      <alignment horizontal="center" vertical="center" readingOrder="1"/>
      <protection locked="0"/>
    </xf>
    <xf numFmtId="0" fontId="2" fillId="35" borderId="24" xfId="0" applyFont="1" applyFill="1" applyBorder="1" applyAlignment="1" applyProtection="1">
      <alignment horizontal="center" vertical="center" readingOrder="1"/>
      <protection locked="0"/>
    </xf>
    <xf numFmtId="185" fontId="2" fillId="35" borderId="18" xfId="0" applyNumberFormat="1" applyFont="1" applyFill="1" applyBorder="1" applyAlignment="1" applyProtection="1">
      <alignment horizontal="center" vertical="center" wrapText="1" readingOrder="1"/>
      <protection locked="0"/>
    </xf>
    <xf numFmtId="185" fontId="2" fillId="35" borderId="24" xfId="0" applyNumberFormat="1" applyFont="1" applyFill="1" applyBorder="1" applyAlignment="1" applyProtection="1">
      <alignment horizontal="center" vertical="center" wrapText="1" readingOrder="1"/>
      <protection locked="0"/>
    </xf>
    <xf numFmtId="185" fontId="2" fillId="37" borderId="18" xfId="0" applyNumberFormat="1" applyFont="1" applyFill="1" applyBorder="1" applyAlignment="1" applyProtection="1">
      <alignment horizontal="center" vertical="center" wrapText="1" readingOrder="1"/>
      <protection locked="0"/>
    </xf>
    <xf numFmtId="186" fontId="2" fillId="41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41" borderId="24" xfId="0" applyFont="1" applyFill="1" applyBorder="1" applyAlignment="1" applyProtection="1">
      <alignment horizontal="center" vertical="center" wrapText="1" readingOrder="1"/>
      <protection locked="0"/>
    </xf>
    <xf numFmtId="0" fontId="3" fillId="34" borderId="12" xfId="0" applyFont="1" applyFill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3" fillId="34" borderId="13" xfId="0" applyFont="1" applyFill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4" fillId="40" borderId="10" xfId="0" applyFont="1" applyFill="1" applyBorder="1" applyAlignment="1" applyProtection="1">
      <alignment horizontal="left" vertical="top" wrapText="1" readingOrder="1"/>
      <protection locked="0"/>
    </xf>
    <xf numFmtId="0" fontId="0" fillId="43" borderId="26" xfId="0" applyFill="1" applyBorder="1" applyAlignment="1" applyProtection="1">
      <alignment vertical="top" wrapText="1"/>
      <protection locked="0"/>
    </xf>
    <xf numFmtId="185" fontId="4" fillId="40" borderId="10" xfId="0" applyNumberFormat="1" applyFont="1" applyFill="1" applyBorder="1" applyAlignment="1" applyProtection="1">
      <alignment horizontal="right" vertical="top" wrapText="1" readingOrder="1"/>
      <protection locked="0"/>
    </xf>
    <xf numFmtId="186" fontId="2" fillId="36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6" borderId="24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185" fontId="5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6" fillId="42" borderId="20" xfId="0" applyFont="1" applyFill="1" applyBorder="1" applyAlignment="1" applyProtection="1">
      <alignment horizontal="left" vertical="top" wrapText="1" readingOrder="1"/>
      <protection locked="0"/>
    </xf>
    <xf numFmtId="0" fontId="0" fillId="44" borderId="27" xfId="0" applyFill="1" applyBorder="1" applyAlignment="1" applyProtection="1">
      <alignment vertical="top" wrapText="1"/>
      <protection locked="0"/>
    </xf>
    <xf numFmtId="185" fontId="6" fillId="42" borderId="20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34" borderId="14" xfId="0" applyFont="1" applyFill="1" applyBorder="1" applyAlignment="1" applyProtection="1">
      <alignment horizontal="left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7" fillId="34" borderId="14" xfId="0" applyFont="1" applyFill="1" applyBorder="1" applyAlignment="1" applyProtection="1">
      <alignment horizontal="right" vertical="center" wrapText="1" readingOrder="1"/>
      <protection locked="0"/>
    </xf>
    <xf numFmtId="0" fontId="8" fillId="34" borderId="0" xfId="0" applyFont="1" applyFill="1" applyAlignment="1" applyProtection="1">
      <alignment horizontal="left" vertical="top" wrapText="1" readingOrder="1"/>
      <protection locked="0"/>
    </xf>
    <xf numFmtId="0" fontId="8" fillId="34" borderId="0" xfId="0" applyFont="1" applyFill="1" applyAlignment="1" applyProtection="1">
      <alignment horizontal="right" vertical="top" wrapText="1" readingOrder="1"/>
      <protection locked="0"/>
    </xf>
    <xf numFmtId="185" fontId="6" fillId="34" borderId="0" xfId="0" applyNumberFormat="1" applyFont="1" applyFill="1" applyAlignment="1" applyProtection="1">
      <alignment horizontal="right" vertical="top" wrapText="1" readingOrder="1"/>
      <protection locked="0"/>
    </xf>
    <xf numFmtId="185" fontId="9" fillId="34" borderId="0" xfId="0" applyNumberFormat="1" applyFont="1" applyFill="1" applyAlignment="1" applyProtection="1">
      <alignment horizontal="right" vertical="top" wrapText="1" readingOrder="1"/>
      <protection locked="0"/>
    </xf>
    <xf numFmtId="185" fontId="2" fillId="34" borderId="0" xfId="0" applyNumberFormat="1" applyFont="1" applyFill="1" applyAlignment="1" applyProtection="1">
      <alignment horizontal="right" vertical="top" wrapText="1" readingOrder="1"/>
      <protection locked="0"/>
    </xf>
    <xf numFmtId="0" fontId="9" fillId="36" borderId="19" xfId="0" applyFont="1" applyFill="1" applyBorder="1" applyAlignment="1" applyProtection="1">
      <alignment horizontal="left" vertical="top" wrapText="1" readingOrder="1"/>
      <protection locked="0"/>
    </xf>
    <xf numFmtId="0" fontId="0" fillId="45" borderId="19" xfId="0" applyFill="1" applyBorder="1" applyAlignment="1" applyProtection="1">
      <alignment vertical="top" wrapText="1"/>
      <protection locked="0"/>
    </xf>
    <xf numFmtId="185" fontId="9" fillId="36" borderId="19" xfId="0" applyNumberFormat="1" applyFont="1" applyFill="1" applyBorder="1" applyAlignment="1" applyProtection="1">
      <alignment horizontal="right" vertical="top" wrapText="1" readingOrder="1"/>
      <protection locked="0"/>
    </xf>
    <xf numFmtId="0" fontId="14" fillId="34" borderId="31" xfId="0" applyFont="1" applyFill="1" applyBorder="1" applyAlignment="1" applyProtection="1">
      <alignment vertical="center" wrapText="1" readingOrder="1"/>
      <protection locked="0"/>
    </xf>
    <xf numFmtId="0" fontId="0" fillId="0" borderId="31" xfId="0" applyFont="1" applyBorder="1" applyAlignment="1" applyProtection="1">
      <alignment vertical="top" wrapText="1"/>
      <protection locked="0"/>
    </xf>
    <xf numFmtId="0" fontId="0" fillId="0" borderId="21" xfId="0" applyFont="1" applyBorder="1" applyAlignment="1" applyProtection="1">
      <alignment vertical="top" wrapText="1"/>
      <protection locked="0"/>
    </xf>
    <xf numFmtId="0" fontId="14" fillId="34" borderId="31" xfId="0" applyFont="1" applyFill="1" applyBorder="1" applyAlignment="1" applyProtection="1">
      <alignment horizontal="right" vertical="center" wrapText="1" readingOrder="1"/>
      <protection locked="0"/>
    </xf>
    <xf numFmtId="0" fontId="14" fillId="0" borderId="0" xfId="0" applyFont="1" applyBorder="1" applyAlignment="1" applyProtection="1">
      <alignment vertical="top" wrapText="1" readingOrder="1"/>
      <protection locked="0"/>
    </xf>
    <xf numFmtId="0" fontId="0" fillId="0" borderId="22" xfId="0" applyFont="1" applyBorder="1" applyAlignment="1">
      <alignment/>
    </xf>
    <xf numFmtId="185" fontId="14" fillId="0" borderId="0" xfId="0" applyNumberFormat="1" applyFont="1" applyAlignment="1" applyProtection="1">
      <alignment horizontal="right" vertical="top" wrapText="1" readingOrder="1"/>
      <protection locked="0"/>
    </xf>
    <xf numFmtId="0" fontId="0" fillId="0" borderId="0" xfId="0" applyFont="1" applyAlignment="1">
      <alignment/>
    </xf>
    <xf numFmtId="0" fontId="14" fillId="0" borderId="25" xfId="0" applyFont="1" applyBorder="1" applyAlignment="1" applyProtection="1">
      <alignment vertical="top" wrapText="1" readingOrder="1"/>
      <protection locked="0"/>
    </xf>
    <xf numFmtId="0" fontId="0" fillId="0" borderId="23" xfId="0" applyFont="1" applyBorder="1" applyAlignment="1">
      <alignment/>
    </xf>
    <xf numFmtId="0" fontId="14" fillId="0" borderId="17" xfId="0" applyFont="1" applyBorder="1" applyAlignment="1" applyProtection="1">
      <alignment vertical="center" wrapText="1" readingOrder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185" fontId="14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50" applyFont="1" applyAlignment="1" applyProtection="1">
      <alignment vertical="top" wrapText="1" readingOrder="1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CE9D8"/>
      <rgbColor rgb="00FF6347"/>
      <rgbColor rgb="000000FF"/>
      <rgbColor rgb="006A5ACD"/>
      <rgbColor rgb="00FFFF00"/>
      <rgbColor rgb="007871AC"/>
      <rgbColor rgb="00D3D3D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6.7109375" style="35" customWidth="1"/>
    <col min="2" max="2" width="18.00390625" style="35" customWidth="1"/>
    <col min="3" max="3" width="18.57421875" style="35" customWidth="1"/>
    <col min="4" max="4" width="16.28125" style="35" customWidth="1"/>
    <col min="5" max="5" width="15.7109375" style="35" customWidth="1"/>
    <col min="6" max="6" width="13.7109375" style="35" customWidth="1"/>
    <col min="7" max="7" width="14.57421875" style="35" customWidth="1"/>
    <col min="8" max="8" width="15.28125" style="35" customWidth="1"/>
    <col min="9" max="16384" width="9.140625" style="35" customWidth="1"/>
  </cols>
  <sheetData>
    <row r="1" ht="12.75">
      <c r="A1" s="34" t="s">
        <v>146</v>
      </c>
    </row>
    <row r="2" spans="1:7" ht="12.75">
      <c r="A2" s="34" t="s">
        <v>147</v>
      </c>
      <c r="B2" s="34"/>
      <c r="C2" s="34"/>
      <c r="D2" s="34"/>
      <c r="E2" s="34"/>
      <c r="F2" s="34"/>
      <c r="G2" s="34"/>
    </row>
    <row r="3" spans="1:7" ht="12.75">
      <c r="A3" s="34" t="s">
        <v>148</v>
      </c>
      <c r="B3" s="34"/>
      <c r="C3" s="34"/>
      <c r="D3" s="34"/>
      <c r="E3" s="34"/>
      <c r="F3" s="34"/>
      <c r="G3" s="34"/>
    </row>
    <row r="4" spans="1:7" ht="12.75">
      <c r="A4" s="34" t="s">
        <v>149</v>
      </c>
      <c r="B4" s="34"/>
      <c r="C4" s="34"/>
      <c r="D4" s="34"/>
      <c r="E4" s="34"/>
      <c r="F4" s="34"/>
      <c r="G4" s="34"/>
    </row>
    <row r="6" ht="12.75">
      <c r="A6" s="138" t="s">
        <v>186</v>
      </c>
    </row>
    <row r="7" ht="12.75">
      <c r="A7" s="138" t="s">
        <v>182</v>
      </c>
    </row>
    <row r="9" spans="1:9" ht="14.25">
      <c r="A9" s="42" t="s">
        <v>150</v>
      </c>
      <c r="B9" s="42"/>
      <c r="C9" s="42"/>
      <c r="D9" s="42"/>
      <c r="E9" s="43"/>
      <c r="F9" s="43"/>
      <c r="G9" s="43"/>
      <c r="H9" s="43"/>
      <c r="I9" s="44"/>
    </row>
    <row r="10" spans="1:9" ht="14.25">
      <c r="A10" s="42" t="s">
        <v>183</v>
      </c>
      <c r="B10" s="42"/>
      <c r="C10" s="42"/>
      <c r="D10" s="42"/>
      <c r="E10" s="43"/>
      <c r="F10" s="43"/>
      <c r="G10" s="43"/>
      <c r="H10" s="43"/>
      <c r="I10" s="44"/>
    </row>
    <row r="11" ht="13.5" thickBot="1"/>
    <row r="12" spans="1:8" ht="33.75" customHeight="1" thickBot="1">
      <c r="A12" s="139" t="s">
        <v>181</v>
      </c>
      <c r="B12" s="140"/>
      <c r="C12" s="140"/>
      <c r="D12" s="140"/>
      <c r="E12" s="140"/>
      <c r="F12" s="140"/>
      <c r="G12" s="140"/>
      <c r="H12" s="141"/>
    </row>
    <row r="13" ht="36" customHeight="1"/>
    <row r="14" spans="1:8" ht="30.75" customHeight="1">
      <c r="A14" s="37"/>
      <c r="B14" s="45" t="s">
        <v>176</v>
      </c>
      <c r="C14" s="45" t="s">
        <v>177</v>
      </c>
      <c r="D14" s="45" t="s">
        <v>178</v>
      </c>
      <c r="E14" s="129" t="s">
        <v>179</v>
      </c>
      <c r="F14" s="128" t="s">
        <v>170</v>
      </c>
      <c r="G14" s="128" t="s">
        <v>6</v>
      </c>
      <c r="H14" s="128" t="s">
        <v>7</v>
      </c>
    </row>
    <row r="15" spans="1:8" ht="12.75">
      <c r="A15" s="46" t="s">
        <v>151</v>
      </c>
      <c r="B15" s="47">
        <f aca="true" t="shared" si="0" ref="B15:H15">B16+B17</f>
        <v>7481428.38</v>
      </c>
      <c r="C15" s="47">
        <f t="shared" si="0"/>
        <v>992956.16</v>
      </c>
      <c r="D15" s="47">
        <f t="shared" si="0"/>
        <v>6629841.11</v>
      </c>
      <c r="E15" s="47">
        <f t="shared" si="0"/>
        <v>879931.14</v>
      </c>
      <c r="F15" s="47">
        <v>963089</v>
      </c>
      <c r="G15" s="47">
        <f t="shared" si="0"/>
        <v>957340</v>
      </c>
      <c r="H15" s="47">
        <f t="shared" si="0"/>
        <v>957340</v>
      </c>
    </row>
    <row r="16" spans="1:8" ht="12.75">
      <c r="A16" s="37" t="s">
        <v>129</v>
      </c>
      <c r="B16" s="38">
        <v>7480504.38</v>
      </c>
      <c r="C16" s="38">
        <v>992833.55</v>
      </c>
      <c r="D16" s="38">
        <v>6628917.11</v>
      </c>
      <c r="E16" s="38">
        <v>879808.5</v>
      </c>
      <c r="F16" s="38">
        <v>962966</v>
      </c>
      <c r="G16" s="38">
        <v>957217</v>
      </c>
      <c r="H16" s="38">
        <v>957217</v>
      </c>
    </row>
    <row r="17" spans="1:8" ht="12.75">
      <c r="A17" s="37" t="s">
        <v>152</v>
      </c>
      <c r="B17" s="38">
        <v>924</v>
      </c>
      <c r="C17" s="38">
        <v>122.61</v>
      </c>
      <c r="D17" s="38">
        <v>924</v>
      </c>
      <c r="E17" s="38">
        <v>122.64</v>
      </c>
      <c r="F17" s="38">
        <v>123</v>
      </c>
      <c r="G17" s="38">
        <v>123</v>
      </c>
      <c r="H17" s="38">
        <v>123</v>
      </c>
    </row>
    <row r="18" spans="1:8" ht="12.75">
      <c r="A18" s="46" t="s">
        <v>153</v>
      </c>
      <c r="B18" s="47">
        <f>B20+B19</f>
        <v>7344446.380000001</v>
      </c>
      <c r="C18" s="47">
        <f aca="true" t="shared" si="1" ref="C18:H18">C19+C20</f>
        <v>974775.55</v>
      </c>
      <c r="D18" s="47">
        <f t="shared" si="1"/>
        <v>6954585.87</v>
      </c>
      <c r="E18" s="47">
        <f t="shared" si="1"/>
        <v>923032.17</v>
      </c>
      <c r="F18" s="47">
        <f t="shared" si="1"/>
        <v>978419</v>
      </c>
      <c r="G18" s="47">
        <f t="shared" si="1"/>
        <v>957340</v>
      </c>
      <c r="H18" s="47">
        <f t="shared" si="1"/>
        <v>957340</v>
      </c>
    </row>
    <row r="19" spans="1:8" ht="12.75">
      <c r="A19" s="37" t="s">
        <v>154</v>
      </c>
      <c r="B19" s="130">
        <v>7231562.69</v>
      </c>
      <c r="C19" s="38">
        <v>959793.31</v>
      </c>
      <c r="D19" s="38">
        <v>6857403.87</v>
      </c>
      <c r="E19" s="38">
        <v>910133.9</v>
      </c>
      <c r="F19" s="38">
        <v>972997</v>
      </c>
      <c r="G19" s="38">
        <v>952248</v>
      </c>
      <c r="H19" s="38">
        <v>952248</v>
      </c>
    </row>
    <row r="20" spans="1:8" ht="12.75">
      <c r="A20" s="37" t="s">
        <v>155</v>
      </c>
      <c r="B20" s="38">
        <v>112883.69</v>
      </c>
      <c r="C20" s="38">
        <v>14982.24</v>
      </c>
      <c r="D20" s="38">
        <v>97182</v>
      </c>
      <c r="E20" s="38">
        <v>12898.27</v>
      </c>
      <c r="F20" s="38">
        <v>5422</v>
      </c>
      <c r="G20" s="38">
        <v>5092</v>
      </c>
      <c r="H20" s="38">
        <v>5092</v>
      </c>
    </row>
    <row r="21" spans="1:8" ht="12.75">
      <c r="A21" s="46" t="s">
        <v>156</v>
      </c>
      <c r="B21" s="47">
        <f aca="true" t="shared" si="2" ref="B21:H21">B15-B18</f>
        <v>136981.99999999907</v>
      </c>
      <c r="C21" s="47">
        <f t="shared" si="2"/>
        <v>18180.609999999986</v>
      </c>
      <c r="D21" s="47">
        <f t="shared" si="2"/>
        <v>-324744.7599999998</v>
      </c>
      <c r="E21" s="47">
        <f t="shared" si="2"/>
        <v>-43101.03000000003</v>
      </c>
      <c r="F21" s="47">
        <f t="shared" si="2"/>
        <v>-15330</v>
      </c>
      <c r="G21" s="47">
        <f t="shared" si="2"/>
        <v>0</v>
      </c>
      <c r="H21" s="47">
        <f t="shared" si="2"/>
        <v>0</v>
      </c>
    </row>
    <row r="22" spans="2:8" ht="12.75">
      <c r="B22" s="131"/>
      <c r="C22" s="131"/>
      <c r="D22" s="131"/>
      <c r="E22" s="131"/>
      <c r="F22" s="131"/>
      <c r="G22" s="131"/>
      <c r="H22" s="131"/>
    </row>
    <row r="23" spans="1:8" ht="27.75" customHeight="1">
      <c r="A23" s="37"/>
      <c r="B23" s="132" t="s">
        <v>176</v>
      </c>
      <c r="C23" s="132" t="s">
        <v>177</v>
      </c>
      <c r="D23" s="132" t="s">
        <v>178</v>
      </c>
      <c r="E23" s="133" t="s">
        <v>179</v>
      </c>
      <c r="F23" s="134" t="s">
        <v>170</v>
      </c>
      <c r="G23" s="134" t="s">
        <v>6</v>
      </c>
      <c r="H23" s="134" t="s">
        <v>7</v>
      </c>
    </row>
    <row r="24" spans="1:8" ht="12.75">
      <c r="A24" s="37" t="s">
        <v>157</v>
      </c>
      <c r="B24" s="38">
        <v>230686.63</v>
      </c>
      <c r="C24" s="38">
        <f>B24/7.5345</f>
        <v>30617.377397305725</v>
      </c>
      <c r="D24" s="38">
        <v>367669</v>
      </c>
      <c r="E24" s="38">
        <f>D24/7.5345</f>
        <v>48798.06224699714</v>
      </c>
      <c r="F24" s="38">
        <v>15330</v>
      </c>
      <c r="G24" s="38">
        <v>0</v>
      </c>
      <c r="H24" s="38">
        <v>0</v>
      </c>
    </row>
    <row r="25" spans="2:8" ht="38.25" customHeight="1">
      <c r="B25" s="131"/>
      <c r="C25" s="131"/>
      <c r="D25" s="131"/>
      <c r="E25" s="131"/>
      <c r="F25" s="131"/>
      <c r="G25" s="131"/>
      <c r="H25" s="131"/>
    </row>
    <row r="26" spans="1:8" ht="29.25" customHeight="1">
      <c r="A26" s="37"/>
      <c r="B26" s="132" t="s">
        <v>176</v>
      </c>
      <c r="C26" s="132" t="s">
        <v>177</v>
      </c>
      <c r="D26" s="132" t="s">
        <v>178</v>
      </c>
      <c r="E26" s="133" t="s">
        <v>179</v>
      </c>
      <c r="F26" s="134" t="s">
        <v>170</v>
      </c>
      <c r="G26" s="134" t="s">
        <v>6</v>
      </c>
      <c r="H26" s="134" t="s">
        <v>7</v>
      </c>
    </row>
    <row r="27" spans="1:8" ht="27.75" customHeight="1">
      <c r="A27" s="127" t="s">
        <v>158</v>
      </c>
      <c r="B27" s="38"/>
      <c r="C27" s="38"/>
      <c r="D27" s="38"/>
      <c r="E27" s="38"/>
      <c r="F27" s="38"/>
      <c r="G27" s="38"/>
      <c r="H27" s="38"/>
    </row>
    <row r="28" spans="1:8" ht="28.5" customHeight="1">
      <c r="A28" s="127" t="s">
        <v>159</v>
      </c>
      <c r="B28" s="38"/>
      <c r="C28" s="38"/>
      <c r="D28" s="38"/>
      <c r="E28" s="38"/>
      <c r="F28" s="38"/>
      <c r="G28" s="38"/>
      <c r="H28" s="38"/>
    </row>
    <row r="29" spans="1:8" ht="12.75">
      <c r="A29" s="37" t="s">
        <v>160</v>
      </c>
      <c r="B29" s="38"/>
      <c r="C29" s="38"/>
      <c r="D29" s="38"/>
      <c r="E29" s="38"/>
      <c r="F29" s="38"/>
      <c r="G29" s="38"/>
      <c r="H29" s="38"/>
    </row>
    <row r="30" spans="2:8" ht="12.75">
      <c r="B30" s="131"/>
      <c r="C30" s="131"/>
      <c r="D30" s="131"/>
      <c r="E30" s="131"/>
      <c r="F30" s="131"/>
      <c r="G30" s="131"/>
      <c r="H30" s="131"/>
    </row>
    <row r="31" spans="2:8" ht="12.75">
      <c r="B31" s="131"/>
      <c r="C31" s="131"/>
      <c r="D31" s="131"/>
      <c r="E31" s="131"/>
      <c r="F31" s="131"/>
      <c r="G31" s="131"/>
      <c r="H31" s="131"/>
    </row>
    <row r="32" spans="1:8" ht="12.75">
      <c r="A32" s="37" t="s">
        <v>161</v>
      </c>
      <c r="B32" s="38">
        <f>B21+B24</f>
        <v>367668.6299999991</v>
      </c>
      <c r="C32" s="38">
        <f>B32/7.5345</f>
        <v>48798.01313955791</v>
      </c>
      <c r="D32" s="38">
        <f>D24+D21</f>
        <v>42924.24000000022</v>
      </c>
      <c r="E32" s="39">
        <f>E24+E21</f>
        <v>5697.032246997114</v>
      </c>
      <c r="F32" s="39">
        <f>F24+F21</f>
        <v>0</v>
      </c>
      <c r="G32" s="39">
        <v>0</v>
      </c>
      <c r="H32" s="39">
        <v>0</v>
      </c>
    </row>
    <row r="34" ht="12.75">
      <c r="F34" s="138" t="s">
        <v>184</v>
      </c>
    </row>
    <row r="35" ht="12.75">
      <c r="F35" s="138" t="s">
        <v>185</v>
      </c>
    </row>
  </sheetData>
  <sheetProtection/>
  <mergeCells count="1">
    <mergeCell ref="A12:H12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1.7109375" style="35" customWidth="1"/>
    <col min="2" max="2" width="48.00390625" style="35" customWidth="1"/>
    <col min="3" max="3" width="15.28125" style="35" customWidth="1"/>
    <col min="4" max="4" width="14.7109375" style="35" customWidth="1"/>
    <col min="5" max="5" width="15.8515625" style="35" customWidth="1"/>
    <col min="6" max="6" width="15.421875" style="35" customWidth="1"/>
    <col min="7" max="7" width="15.28125" style="35" customWidth="1"/>
    <col min="8" max="8" width="14.28125" style="35" customWidth="1"/>
    <col min="9" max="9" width="14.421875" style="35" customWidth="1"/>
    <col min="10" max="16384" width="9.140625" style="35" customWidth="1"/>
  </cols>
  <sheetData>
    <row r="1" spans="1:5" ht="61.5" customHeight="1">
      <c r="A1" s="204" t="s">
        <v>187</v>
      </c>
      <c r="B1" s="142"/>
      <c r="C1" s="142"/>
      <c r="D1" s="142"/>
      <c r="E1" s="142"/>
    </row>
    <row r="2" ht="14.25" customHeight="1" thickBot="1"/>
    <row r="3" spans="1:9" ht="32.25" customHeight="1" thickBot="1">
      <c r="A3" s="145" t="s">
        <v>180</v>
      </c>
      <c r="B3" s="146"/>
      <c r="C3" s="146"/>
      <c r="D3" s="146"/>
      <c r="E3" s="146"/>
      <c r="F3" s="146"/>
      <c r="G3" s="146"/>
      <c r="H3" s="146"/>
      <c r="I3" s="147"/>
    </row>
    <row r="4" ht="12.75">
      <c r="A4" s="34"/>
    </row>
    <row r="5" spans="1:9" ht="36" customHeight="1">
      <c r="A5" s="118" t="s">
        <v>2</v>
      </c>
      <c r="B5" s="118" t="s">
        <v>3</v>
      </c>
      <c r="C5" s="119" t="s">
        <v>176</v>
      </c>
      <c r="D5" s="119" t="s">
        <v>177</v>
      </c>
      <c r="E5" s="119" t="s">
        <v>178</v>
      </c>
      <c r="F5" s="119" t="s">
        <v>179</v>
      </c>
      <c r="G5" s="119" t="s">
        <v>170</v>
      </c>
      <c r="H5" s="118" t="s">
        <v>6</v>
      </c>
      <c r="I5" s="118" t="s">
        <v>7</v>
      </c>
    </row>
    <row r="6" spans="1:9" ht="12.75">
      <c r="A6" s="135" t="s">
        <v>128</v>
      </c>
      <c r="B6" s="136" t="s">
        <v>129</v>
      </c>
      <c r="C6" s="137">
        <f>C8+C31</f>
        <v>7481428.38</v>
      </c>
      <c r="D6" s="137">
        <f aca="true" t="shared" si="0" ref="D6:I6">D8+D30</f>
        <v>992956.1596715109</v>
      </c>
      <c r="E6" s="137">
        <f t="shared" si="0"/>
        <v>6629841.109999999</v>
      </c>
      <c r="F6" s="137">
        <f t="shared" si="0"/>
        <v>879931.1314619418</v>
      </c>
      <c r="G6" s="137">
        <f t="shared" si="0"/>
        <v>963089</v>
      </c>
      <c r="H6" s="137">
        <f t="shared" si="0"/>
        <v>957340</v>
      </c>
      <c r="I6" s="137">
        <f t="shared" si="0"/>
        <v>957340</v>
      </c>
    </row>
    <row r="7" spans="1:9" ht="12.75">
      <c r="A7" s="120"/>
      <c r="B7" s="121"/>
      <c r="C7" s="39"/>
      <c r="D7" s="39"/>
      <c r="E7" s="39"/>
      <c r="F7" s="39"/>
      <c r="G7" s="39"/>
      <c r="H7" s="121"/>
      <c r="I7" s="121"/>
    </row>
    <row r="8" spans="1:9" ht="12.75">
      <c r="A8" s="122">
        <v>6</v>
      </c>
      <c r="B8" s="123" t="s">
        <v>129</v>
      </c>
      <c r="C8" s="124">
        <f>C9+C16+C19+C27</f>
        <v>7480504.38</v>
      </c>
      <c r="D8" s="124">
        <f>7480504.38/7.5345</f>
        <v>992833.5496715109</v>
      </c>
      <c r="E8" s="124">
        <f>E9+E16+E19+E24+E27</f>
        <v>6628917.109999999</v>
      </c>
      <c r="F8" s="124">
        <f>F9+F16+F19+F24+F27</f>
        <v>879808.4955869666</v>
      </c>
      <c r="G8" s="124">
        <f>G9+G16+G19+G24+G27</f>
        <v>962966</v>
      </c>
      <c r="H8" s="124">
        <f>H9+H16+H19+H24+H27</f>
        <v>957217</v>
      </c>
      <c r="I8" s="124">
        <f>I9+I16+I19+I24+I27</f>
        <v>957217</v>
      </c>
    </row>
    <row r="9" spans="1:9" ht="12.75">
      <c r="A9" s="46">
        <v>63</v>
      </c>
      <c r="B9" s="46" t="s">
        <v>130</v>
      </c>
      <c r="C9" s="47">
        <f>C10+C11+C12+C13+C14</f>
        <v>6370182.05</v>
      </c>
      <c r="D9" s="47">
        <f>D10+D11+D12+D13+D14</f>
        <v>845468.4517884398</v>
      </c>
      <c r="E9" s="47">
        <f>E10+E11+E12+E13+E14</f>
        <v>5637515.31</v>
      </c>
      <c r="F9" s="47">
        <f>F10+F11+F12+F13</f>
        <v>748226.8644236512</v>
      </c>
      <c r="G9" s="47">
        <f>G10+G11+G12+G13+G14</f>
        <v>835318</v>
      </c>
      <c r="H9" s="47">
        <f>H10+H11+H12+H13+H14</f>
        <v>842318</v>
      </c>
      <c r="I9" s="47">
        <f>I10+I11+I12+I13+I14</f>
        <v>842318</v>
      </c>
    </row>
    <row r="10" spans="1:9" ht="12.75">
      <c r="A10" s="37">
        <v>636</v>
      </c>
      <c r="B10" s="37" t="s">
        <v>131</v>
      </c>
      <c r="C10" s="39">
        <f>5565042.49+22834.96+222366.46</f>
        <v>5810243.91</v>
      </c>
      <c r="D10" s="47">
        <f>C10/7.5345</f>
        <v>771151.8893091778</v>
      </c>
      <c r="E10" s="38">
        <v>5367691</v>
      </c>
      <c r="F10" s="38">
        <f>E10/7.5345</f>
        <v>712415.0242219125</v>
      </c>
      <c r="G10" s="38">
        <v>798625</v>
      </c>
      <c r="H10" s="38">
        <v>798625</v>
      </c>
      <c r="I10" s="38">
        <v>798625</v>
      </c>
    </row>
    <row r="11" spans="1:9" ht="12.75">
      <c r="A11" s="37">
        <v>636</v>
      </c>
      <c r="B11" s="37" t="s">
        <v>132</v>
      </c>
      <c r="C11" s="39">
        <f>15000+48565.33+14915.1</f>
        <v>78480.43000000001</v>
      </c>
      <c r="D11" s="47">
        <f>C11/7.5345</f>
        <v>10416.143075187472</v>
      </c>
      <c r="E11" s="38">
        <v>120570</v>
      </c>
      <c r="F11" s="38">
        <f>E11/7.5345</f>
        <v>16002.389010551462</v>
      </c>
      <c r="G11" s="38">
        <v>16883</v>
      </c>
      <c r="H11" s="38">
        <v>16883</v>
      </c>
      <c r="I11" s="38">
        <v>16883</v>
      </c>
    </row>
    <row r="12" spans="1:9" ht="12.75">
      <c r="A12" s="37">
        <v>636</v>
      </c>
      <c r="B12" s="37" t="s">
        <v>133</v>
      </c>
      <c r="C12" s="39">
        <f>19983</f>
        <v>19983</v>
      </c>
      <c r="D12" s="47">
        <f>C12/7.5345</f>
        <v>2652.1998805494723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</row>
    <row r="13" spans="1:9" ht="12.75">
      <c r="A13" s="37">
        <v>638</v>
      </c>
      <c r="B13" s="37" t="s">
        <v>134</v>
      </c>
      <c r="C13" s="39">
        <f>122277.2</f>
        <v>122277.2</v>
      </c>
      <c r="D13" s="47">
        <f>C13/7.5345</f>
        <v>16228.973389076911</v>
      </c>
      <c r="E13" s="38">
        <v>149254.31</v>
      </c>
      <c r="F13" s="38">
        <f>E13/7.5345</f>
        <v>19809.451191187203</v>
      </c>
      <c r="G13" s="38">
        <v>0</v>
      </c>
      <c r="H13" s="38">
        <v>0</v>
      </c>
      <c r="I13" s="38">
        <v>0</v>
      </c>
    </row>
    <row r="14" spans="1:9" ht="12.75">
      <c r="A14" s="37">
        <v>638</v>
      </c>
      <c r="B14" s="37" t="s">
        <v>135</v>
      </c>
      <c r="C14" s="39">
        <f>45971.13+247211.18+46015.2</f>
        <v>339197.51</v>
      </c>
      <c r="D14" s="47">
        <f>C14/7.5345</f>
        <v>45019.24613444821</v>
      </c>
      <c r="E14" s="38">
        <v>0</v>
      </c>
      <c r="F14" s="38">
        <v>0</v>
      </c>
      <c r="G14" s="38">
        <v>19810</v>
      </c>
      <c r="H14" s="38">
        <v>26810</v>
      </c>
      <c r="I14" s="38">
        <v>26810</v>
      </c>
    </row>
    <row r="15" spans="1:9" ht="12.75">
      <c r="A15" s="37"/>
      <c r="B15" s="37"/>
      <c r="C15" s="38"/>
      <c r="D15" s="38"/>
      <c r="E15" s="38"/>
      <c r="F15" s="38"/>
      <c r="G15" s="38"/>
      <c r="H15" s="37"/>
      <c r="I15" s="37"/>
    </row>
    <row r="16" spans="1:9" ht="12.75">
      <c r="A16" s="46">
        <v>64</v>
      </c>
      <c r="B16" s="46" t="s">
        <v>136</v>
      </c>
      <c r="C16" s="47">
        <f aca="true" t="shared" si="1" ref="C16:I16">C17</f>
        <v>2.15</v>
      </c>
      <c r="D16" s="47">
        <f t="shared" si="1"/>
        <v>0.285354038091446</v>
      </c>
      <c r="E16" s="47">
        <f t="shared" si="1"/>
        <v>15</v>
      </c>
      <c r="F16" s="47">
        <f t="shared" si="1"/>
        <v>1.9908421262193907</v>
      </c>
      <c r="G16" s="47">
        <f t="shared" si="1"/>
        <v>2</v>
      </c>
      <c r="H16" s="47">
        <f t="shared" si="1"/>
        <v>2</v>
      </c>
      <c r="I16" s="47">
        <f t="shared" si="1"/>
        <v>2</v>
      </c>
    </row>
    <row r="17" spans="1:9" ht="12.75">
      <c r="A17" s="37">
        <v>641</v>
      </c>
      <c r="B17" s="37" t="s">
        <v>137</v>
      </c>
      <c r="C17" s="39">
        <v>2.15</v>
      </c>
      <c r="D17" s="38">
        <f>C17/7.5345</f>
        <v>0.285354038091446</v>
      </c>
      <c r="E17" s="38">
        <v>15</v>
      </c>
      <c r="F17" s="38">
        <f>E17/7.5345</f>
        <v>1.9908421262193907</v>
      </c>
      <c r="G17" s="38">
        <v>2</v>
      </c>
      <c r="H17" s="38">
        <v>2</v>
      </c>
      <c r="I17" s="38">
        <v>2</v>
      </c>
    </row>
    <row r="18" spans="1:9" ht="12.75">
      <c r="A18" s="37"/>
      <c r="B18" s="37"/>
      <c r="C18" s="38"/>
      <c r="D18" s="38"/>
      <c r="E18" s="38"/>
      <c r="F18" s="38"/>
      <c r="G18" s="38"/>
      <c r="H18" s="37"/>
      <c r="I18" s="37"/>
    </row>
    <row r="19" spans="1:9" ht="12.75">
      <c r="A19" s="46">
        <v>61</v>
      </c>
      <c r="B19" s="46" t="s">
        <v>129</v>
      </c>
      <c r="C19" s="47">
        <f>C20+C21+C22</f>
        <v>146775.26</v>
      </c>
      <c r="D19" s="125">
        <f>146775.26/7.58345</f>
        <v>19354.6815763274</v>
      </c>
      <c r="E19" s="47">
        <f>E20+E21+E22</f>
        <v>144244.89</v>
      </c>
      <c r="F19" s="47">
        <f>F20+F21+F22</f>
        <v>19144.586900258808</v>
      </c>
      <c r="G19" s="47">
        <f>G20+G21+G22</f>
        <v>11270</v>
      </c>
      <c r="H19" s="47">
        <f>H20+H21+H22</f>
        <v>24087</v>
      </c>
      <c r="I19" s="47">
        <f>I20+I21+I22</f>
        <v>24087</v>
      </c>
    </row>
    <row r="20" spans="1:9" ht="12.75">
      <c r="A20" s="37">
        <v>661</v>
      </c>
      <c r="B20" s="37" t="s">
        <v>138</v>
      </c>
      <c r="C20" s="39">
        <f>7225+108338.8+111.46</f>
        <v>115675.26000000001</v>
      </c>
      <c r="D20" s="126">
        <f>115675.26/7.5345</f>
        <v>15352.745371292054</v>
      </c>
      <c r="E20" s="38">
        <v>110000</v>
      </c>
      <c r="F20" s="38">
        <f>E20/7.5345</f>
        <v>14599.508925608865</v>
      </c>
      <c r="G20" s="38">
        <v>7540</v>
      </c>
      <c r="H20" s="38">
        <v>20357</v>
      </c>
      <c r="I20" s="38">
        <v>20357</v>
      </c>
    </row>
    <row r="21" spans="1:9" ht="12.75">
      <c r="A21" s="37">
        <v>661</v>
      </c>
      <c r="B21" s="37" t="s">
        <v>139</v>
      </c>
      <c r="C21" s="39">
        <v>31100</v>
      </c>
      <c r="D21" s="38">
        <f>C21/7.5345</f>
        <v>4127.67934169487</v>
      </c>
      <c r="E21" s="38">
        <v>33844.89</v>
      </c>
      <c r="F21" s="38">
        <f>E21/7.5345</f>
        <v>4491.988851284093</v>
      </c>
      <c r="G21" s="38">
        <v>3650</v>
      </c>
      <c r="H21" s="38">
        <v>3650</v>
      </c>
      <c r="I21" s="38">
        <v>3650</v>
      </c>
    </row>
    <row r="22" spans="1:9" ht="12.75">
      <c r="A22" s="37">
        <v>661</v>
      </c>
      <c r="B22" s="37" t="s">
        <v>140</v>
      </c>
      <c r="C22" s="39">
        <v>0</v>
      </c>
      <c r="D22" s="38">
        <v>0</v>
      </c>
      <c r="E22" s="38">
        <v>400</v>
      </c>
      <c r="F22" s="38">
        <f>E22/7.5345</f>
        <v>53.08912336585042</v>
      </c>
      <c r="G22" s="38">
        <v>80</v>
      </c>
      <c r="H22" s="38">
        <v>80</v>
      </c>
      <c r="I22" s="38">
        <v>80</v>
      </c>
    </row>
    <row r="23" spans="1:9" ht="12.75">
      <c r="A23" s="37"/>
      <c r="B23" s="37"/>
      <c r="C23" s="38"/>
      <c r="D23" s="38"/>
      <c r="E23" s="38"/>
      <c r="F23" s="38"/>
      <c r="G23" s="38"/>
      <c r="H23" s="37"/>
      <c r="I23" s="37"/>
    </row>
    <row r="24" spans="1:9" ht="12.75">
      <c r="A24" s="46">
        <v>66</v>
      </c>
      <c r="B24" s="46" t="s">
        <v>141</v>
      </c>
      <c r="C24" s="47">
        <v>0</v>
      </c>
      <c r="D24" s="47">
        <v>0</v>
      </c>
      <c r="E24" s="47">
        <f>E25</f>
        <v>7000</v>
      </c>
      <c r="F24" s="47">
        <f>F25</f>
        <v>929.0596589023824</v>
      </c>
      <c r="G24" s="47">
        <f>G25</f>
        <v>53</v>
      </c>
      <c r="H24" s="47">
        <f>H25</f>
        <v>53</v>
      </c>
      <c r="I24" s="47">
        <f>I25</f>
        <v>53</v>
      </c>
    </row>
    <row r="25" spans="1:9" ht="12.75">
      <c r="A25" s="37">
        <v>663</v>
      </c>
      <c r="B25" s="37" t="s">
        <v>142</v>
      </c>
      <c r="C25" s="39">
        <v>0</v>
      </c>
      <c r="D25" s="38">
        <v>0</v>
      </c>
      <c r="E25" s="38">
        <v>7000</v>
      </c>
      <c r="F25" s="38">
        <f>E25/7.5345</f>
        <v>929.0596589023824</v>
      </c>
      <c r="G25" s="38">
        <v>53</v>
      </c>
      <c r="H25" s="38">
        <v>53</v>
      </c>
      <c r="I25" s="38">
        <v>53</v>
      </c>
    </row>
    <row r="26" spans="1:9" ht="12.75">
      <c r="A26" s="37"/>
      <c r="B26" s="37"/>
      <c r="C26" s="38"/>
      <c r="D26" s="38"/>
      <c r="E26" s="38"/>
      <c r="F26" s="38"/>
      <c r="G26" s="38"/>
      <c r="H26" s="37"/>
      <c r="I26" s="37"/>
    </row>
    <row r="27" spans="1:9" ht="12.75">
      <c r="A27" s="46">
        <v>67</v>
      </c>
      <c r="B27" s="46" t="s">
        <v>130</v>
      </c>
      <c r="C27" s="47">
        <f>C28</f>
        <v>963544.92</v>
      </c>
      <c r="D27" s="47">
        <f>C27/7.5345</f>
        <v>127884.38781604619</v>
      </c>
      <c r="E27" s="47">
        <f>E28</f>
        <v>840141.91</v>
      </c>
      <c r="F27" s="47">
        <f>F28</f>
        <v>111505.993762028</v>
      </c>
      <c r="G27" s="47">
        <f>G28</f>
        <v>116323</v>
      </c>
      <c r="H27" s="46">
        <v>90757</v>
      </c>
      <c r="I27" s="46">
        <v>90757</v>
      </c>
    </row>
    <row r="28" spans="1:9" ht="12.75">
      <c r="A28" s="37">
        <v>671</v>
      </c>
      <c r="B28" s="37" t="s">
        <v>143</v>
      </c>
      <c r="C28" s="39">
        <f>298391.38+241402.2+303700.17+10000+11552.5+3000+31581.12+63917.55</f>
        <v>963544.92</v>
      </c>
      <c r="D28" s="38">
        <f>963544.92/7.5345</f>
        <v>127884.38781604619</v>
      </c>
      <c r="E28" s="38">
        <v>840141.91</v>
      </c>
      <c r="F28" s="38">
        <f>E28/7.5345</f>
        <v>111505.993762028</v>
      </c>
      <c r="G28" s="38">
        <v>116323</v>
      </c>
      <c r="H28" s="37">
        <v>90757</v>
      </c>
      <c r="I28" s="37">
        <v>90757</v>
      </c>
    </row>
    <row r="29" spans="1:9" ht="12.75">
      <c r="A29" s="37"/>
      <c r="B29" s="37"/>
      <c r="C29" s="39"/>
      <c r="D29" s="38"/>
      <c r="E29" s="38"/>
      <c r="F29" s="38"/>
      <c r="G29" s="38"/>
      <c r="H29" s="37"/>
      <c r="I29" s="37"/>
    </row>
    <row r="30" spans="1:9" ht="12.75">
      <c r="A30" s="122">
        <v>7</v>
      </c>
      <c r="B30" s="123" t="s">
        <v>144</v>
      </c>
      <c r="C30" s="124">
        <f>C31</f>
        <v>924</v>
      </c>
      <c r="D30" s="124">
        <v>122.61</v>
      </c>
      <c r="E30" s="124">
        <f aca="true" t="shared" si="2" ref="E30:I31">E31</f>
        <v>924</v>
      </c>
      <c r="F30" s="124">
        <f t="shared" si="2"/>
        <v>122.63587497511446</v>
      </c>
      <c r="G30" s="124">
        <f t="shared" si="2"/>
        <v>123</v>
      </c>
      <c r="H30" s="124">
        <f t="shared" si="2"/>
        <v>123</v>
      </c>
      <c r="I30" s="124">
        <f t="shared" si="2"/>
        <v>123</v>
      </c>
    </row>
    <row r="31" spans="1:9" ht="12.75">
      <c r="A31" s="46">
        <v>72</v>
      </c>
      <c r="B31" s="46" t="s">
        <v>144</v>
      </c>
      <c r="C31" s="47">
        <f>C32</f>
        <v>924</v>
      </c>
      <c r="D31" s="47">
        <v>122.64</v>
      </c>
      <c r="E31" s="47">
        <f t="shared" si="2"/>
        <v>924</v>
      </c>
      <c r="F31" s="47">
        <f t="shared" si="2"/>
        <v>122.63587497511446</v>
      </c>
      <c r="G31" s="47">
        <f t="shared" si="2"/>
        <v>123</v>
      </c>
      <c r="H31" s="47">
        <f t="shared" si="2"/>
        <v>123</v>
      </c>
      <c r="I31" s="47">
        <f t="shared" si="2"/>
        <v>123</v>
      </c>
    </row>
    <row r="32" spans="1:9" ht="12.75">
      <c r="A32" s="37">
        <v>721</v>
      </c>
      <c r="B32" s="37" t="s">
        <v>145</v>
      </c>
      <c r="C32" s="39">
        <v>924</v>
      </c>
      <c r="D32" s="38">
        <f>C32/7.5345</f>
        <v>122.63587497511446</v>
      </c>
      <c r="E32" s="38">
        <v>924</v>
      </c>
      <c r="F32" s="38">
        <f>E32/7.5345</f>
        <v>122.63587497511446</v>
      </c>
      <c r="G32" s="38">
        <v>123</v>
      </c>
      <c r="H32" s="38">
        <v>123</v>
      </c>
      <c r="I32" s="38">
        <v>123</v>
      </c>
    </row>
    <row r="35" spans="1:9" ht="29.25" customHeight="1">
      <c r="A35" s="143" t="s">
        <v>86</v>
      </c>
      <c r="B35" s="144"/>
      <c r="C35" s="36" t="s">
        <v>176</v>
      </c>
      <c r="D35" s="36" t="s">
        <v>177</v>
      </c>
      <c r="E35" s="36" t="s">
        <v>178</v>
      </c>
      <c r="F35" s="36" t="s">
        <v>179</v>
      </c>
      <c r="G35" s="36" t="s">
        <v>170</v>
      </c>
      <c r="H35" s="117" t="s">
        <v>6</v>
      </c>
      <c r="I35" s="117" t="s">
        <v>7</v>
      </c>
    </row>
    <row r="36" spans="1:9" ht="12.75">
      <c r="A36" s="37" t="s">
        <v>88</v>
      </c>
      <c r="B36" s="37" t="s">
        <v>89</v>
      </c>
      <c r="C36" s="37">
        <v>0</v>
      </c>
      <c r="D36" s="37">
        <f>E36-C36</f>
        <v>0</v>
      </c>
      <c r="E36" s="37">
        <v>0</v>
      </c>
      <c r="F36" s="37">
        <v>0</v>
      </c>
      <c r="G36" s="37">
        <v>0</v>
      </c>
      <c r="H36" s="38">
        <v>0</v>
      </c>
      <c r="I36" s="38">
        <v>0</v>
      </c>
    </row>
    <row r="37" spans="1:9" ht="12.75">
      <c r="A37" s="37" t="s">
        <v>19</v>
      </c>
      <c r="B37" s="37" t="s">
        <v>90</v>
      </c>
      <c r="C37" s="38">
        <f>C19+C16</f>
        <v>146777.41</v>
      </c>
      <c r="D37" s="126">
        <f>146777.41/7.5345</f>
        <v>19480.71006702502</v>
      </c>
      <c r="E37" s="38">
        <f>E19+E16</f>
        <v>144259.89</v>
      </c>
      <c r="F37" s="38">
        <f>F19+F16</f>
        <v>19146.577742385027</v>
      </c>
      <c r="G37" s="38">
        <f>G19+G16</f>
        <v>11272</v>
      </c>
      <c r="H37" s="38">
        <f>H19+H16</f>
        <v>24089</v>
      </c>
      <c r="I37" s="38">
        <f>I19+I16</f>
        <v>24089</v>
      </c>
    </row>
    <row r="38" spans="1:9" ht="12.75">
      <c r="A38" s="37" t="s">
        <v>91</v>
      </c>
      <c r="B38" s="37" t="s">
        <v>92</v>
      </c>
      <c r="C38" s="38">
        <f>C27</f>
        <v>963544.92</v>
      </c>
      <c r="D38" s="38">
        <f>963544.92/7.5345</f>
        <v>127884.38781604619</v>
      </c>
      <c r="E38" s="38">
        <f>E28</f>
        <v>840141.91</v>
      </c>
      <c r="F38" s="38">
        <f>F27</f>
        <v>111505.993762028</v>
      </c>
      <c r="G38" s="38">
        <f>G27</f>
        <v>116323</v>
      </c>
      <c r="H38" s="38">
        <v>90757</v>
      </c>
      <c r="I38" s="38">
        <v>90757</v>
      </c>
    </row>
    <row r="39" spans="1:9" ht="12.75">
      <c r="A39" s="37" t="s">
        <v>93</v>
      </c>
      <c r="B39" s="37" t="s">
        <v>94</v>
      </c>
      <c r="C39" s="38">
        <f>C13</f>
        <v>122277.2</v>
      </c>
      <c r="D39" s="38">
        <f>122277.2/7.5345</f>
        <v>16228.973389076911</v>
      </c>
      <c r="E39" s="38">
        <f>E13</f>
        <v>149254.31</v>
      </c>
      <c r="F39" s="38">
        <f>F13</f>
        <v>19809.451191187203</v>
      </c>
      <c r="G39" s="38">
        <f>G13</f>
        <v>0</v>
      </c>
      <c r="H39" s="38">
        <f>H13</f>
        <v>0</v>
      </c>
      <c r="I39" s="38">
        <f>I13</f>
        <v>0</v>
      </c>
    </row>
    <row r="40" spans="1:9" ht="12.75">
      <c r="A40" s="37" t="s">
        <v>95</v>
      </c>
      <c r="B40" s="37" t="s">
        <v>96</v>
      </c>
      <c r="C40" s="38">
        <f>C10</f>
        <v>5810243.91</v>
      </c>
      <c r="D40" s="38">
        <f>5810243.91/7.5345</f>
        <v>771151.8893091778</v>
      </c>
      <c r="E40" s="38">
        <f aca="true" t="shared" si="3" ref="E40:I41">E10</f>
        <v>5367691</v>
      </c>
      <c r="F40" s="38">
        <f t="shared" si="3"/>
        <v>712415.0242219125</v>
      </c>
      <c r="G40" s="38">
        <f t="shared" si="3"/>
        <v>798625</v>
      </c>
      <c r="H40" s="38">
        <f t="shared" si="3"/>
        <v>798625</v>
      </c>
      <c r="I40" s="38">
        <f t="shared" si="3"/>
        <v>798625</v>
      </c>
    </row>
    <row r="41" spans="1:9" ht="12.75">
      <c r="A41" s="37" t="s">
        <v>97</v>
      </c>
      <c r="B41" s="37" t="s">
        <v>98</v>
      </c>
      <c r="C41" s="38">
        <f>C11+C12</f>
        <v>98463.43000000001</v>
      </c>
      <c r="D41" s="38">
        <v>13068.31</v>
      </c>
      <c r="E41" s="38">
        <f t="shared" si="3"/>
        <v>120570</v>
      </c>
      <c r="F41" s="38">
        <f t="shared" si="3"/>
        <v>16002.389010551462</v>
      </c>
      <c r="G41" s="38">
        <f t="shared" si="3"/>
        <v>16883</v>
      </c>
      <c r="H41" s="38">
        <f t="shared" si="3"/>
        <v>16883</v>
      </c>
      <c r="I41" s="38">
        <f t="shared" si="3"/>
        <v>16883</v>
      </c>
    </row>
    <row r="42" spans="1:9" ht="12.75">
      <c r="A42" s="37" t="s">
        <v>99</v>
      </c>
      <c r="B42" s="37" t="s">
        <v>100</v>
      </c>
      <c r="C42" s="38">
        <f>C14</f>
        <v>339197.51</v>
      </c>
      <c r="D42" s="38">
        <f>339197.51/7.5345</f>
        <v>45019.24613444821</v>
      </c>
      <c r="E42" s="38">
        <f>E14</f>
        <v>0</v>
      </c>
      <c r="F42" s="38">
        <f>F14</f>
        <v>0</v>
      </c>
      <c r="G42" s="38">
        <f>G14</f>
        <v>19810</v>
      </c>
      <c r="H42" s="38">
        <f>H14</f>
        <v>26810</v>
      </c>
      <c r="I42" s="38">
        <f>I14</f>
        <v>26810</v>
      </c>
    </row>
    <row r="43" spans="1:9" ht="12.75">
      <c r="A43" s="37" t="s">
        <v>101</v>
      </c>
      <c r="B43" s="37" t="s">
        <v>102</v>
      </c>
      <c r="C43" s="38">
        <f>C24</f>
        <v>0</v>
      </c>
      <c r="D43" s="38">
        <f>E43-C43</f>
        <v>7000</v>
      </c>
      <c r="E43" s="38">
        <f>E24</f>
        <v>7000</v>
      </c>
      <c r="F43" s="38">
        <f>F24</f>
        <v>929.0596589023824</v>
      </c>
      <c r="G43" s="38">
        <f>G24</f>
        <v>53</v>
      </c>
      <c r="H43" s="38">
        <f>H24</f>
        <v>53</v>
      </c>
      <c r="I43" s="38">
        <f>I24</f>
        <v>53</v>
      </c>
    </row>
    <row r="44" spans="1:9" ht="12.75">
      <c r="A44" s="37" t="s">
        <v>103</v>
      </c>
      <c r="B44" s="37" t="s">
        <v>104</v>
      </c>
      <c r="C44" s="38">
        <f>C31</f>
        <v>924</v>
      </c>
      <c r="D44" s="38">
        <v>122.64</v>
      </c>
      <c r="E44" s="38">
        <f>E32</f>
        <v>924</v>
      </c>
      <c r="F44" s="38">
        <f>F32</f>
        <v>122.63587497511446</v>
      </c>
      <c r="G44" s="38">
        <f>G32</f>
        <v>123</v>
      </c>
      <c r="H44" s="38">
        <f>H32</f>
        <v>123</v>
      </c>
      <c r="I44" s="38">
        <f>I32</f>
        <v>123</v>
      </c>
    </row>
    <row r="45" spans="1:9" ht="12.75">
      <c r="A45" s="40" t="s">
        <v>105</v>
      </c>
      <c r="B45" s="40"/>
      <c r="C45" s="41">
        <f aca="true" t="shared" si="4" ref="C45:I45">SUM(C36:C44)</f>
        <v>7481428.38</v>
      </c>
      <c r="D45" s="41">
        <f t="shared" si="4"/>
        <v>999956.1567157742</v>
      </c>
      <c r="E45" s="41">
        <f t="shared" si="4"/>
        <v>6629841.11</v>
      </c>
      <c r="F45" s="41">
        <f t="shared" si="4"/>
        <v>879931.1314619418</v>
      </c>
      <c r="G45" s="41">
        <f t="shared" si="4"/>
        <v>963089</v>
      </c>
      <c r="H45" s="41">
        <f t="shared" si="4"/>
        <v>957340</v>
      </c>
      <c r="I45" s="41">
        <f t="shared" si="4"/>
        <v>957340</v>
      </c>
    </row>
  </sheetData>
  <sheetProtection/>
  <mergeCells count="3">
    <mergeCell ref="A1:E1"/>
    <mergeCell ref="A35:B35"/>
    <mergeCell ref="A3:I3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J25" sqref="J25"/>
    </sheetView>
  </sheetViews>
  <sheetFormatPr defaultColWidth="9.140625" defaultRowHeight="12.75"/>
  <cols>
    <col min="1" max="1" width="10.421875" style="0" customWidth="1"/>
    <col min="2" max="2" width="7.8515625" style="0" customWidth="1"/>
    <col min="3" max="3" width="31.140625" style="0" customWidth="1"/>
    <col min="4" max="5" width="12.140625" style="0" customWidth="1"/>
    <col min="6" max="6" width="12.28125" style="0" customWidth="1"/>
    <col min="7" max="7" width="5.7109375" style="0" hidden="1" customWidth="1"/>
    <col min="8" max="8" width="13.57421875" style="0" hidden="1" customWidth="1"/>
    <col min="9" max="9" width="12.28125" style="0" customWidth="1"/>
    <col min="10" max="10" width="11.7109375" style="0" customWidth="1"/>
    <col min="11" max="11" width="12.28125" style="0" customWidth="1"/>
    <col min="12" max="12" width="13.421875" style="0" customWidth="1"/>
    <col min="13" max="13" width="0" style="0" hidden="1" customWidth="1"/>
  </cols>
  <sheetData>
    <row r="1" spans="1:7" ht="54" customHeight="1">
      <c r="A1" s="152" t="s">
        <v>0</v>
      </c>
      <c r="B1" s="153"/>
      <c r="C1" s="153"/>
      <c r="D1" s="153"/>
      <c r="E1" s="153"/>
      <c r="F1" s="153"/>
      <c r="G1" s="153"/>
    </row>
    <row r="2" ht="13.5" customHeight="1" thickBot="1"/>
    <row r="3" spans="1:12" ht="25.5" customHeight="1" thickBot="1">
      <c r="A3" s="156" t="s">
        <v>175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8"/>
    </row>
    <row r="4" ht="7.5" customHeight="1"/>
    <row r="5" spans="1:12" ht="28.5" customHeight="1">
      <c r="A5" s="19"/>
      <c r="B5" s="20" t="s">
        <v>2</v>
      </c>
      <c r="C5" s="20" t="s">
        <v>3</v>
      </c>
      <c r="D5" s="20" t="s">
        <v>163</v>
      </c>
      <c r="E5" s="20" t="s">
        <v>162</v>
      </c>
      <c r="F5" s="20" t="s">
        <v>166</v>
      </c>
      <c r="G5" s="54"/>
      <c r="H5" s="20" t="s">
        <v>106</v>
      </c>
      <c r="I5" s="20" t="s">
        <v>168</v>
      </c>
      <c r="J5" s="20" t="s">
        <v>170</v>
      </c>
      <c r="K5" s="20" t="s">
        <v>6</v>
      </c>
      <c r="L5" s="20" t="s">
        <v>7</v>
      </c>
    </row>
    <row r="6" spans="1:12" ht="21.75" customHeight="1">
      <c r="A6" s="21"/>
      <c r="B6" s="22"/>
      <c r="C6" s="23" t="s">
        <v>107</v>
      </c>
      <c r="D6" s="24">
        <f>D20+D7</f>
        <v>7344446.379999999</v>
      </c>
      <c r="E6" s="48">
        <f aca="true" t="shared" si="0" ref="E6:E20">D6/7.5345</f>
        <v>974775.5498042337</v>
      </c>
      <c r="F6" s="173">
        <f>F7+F20</f>
        <v>6954585.869999999</v>
      </c>
      <c r="G6" s="174"/>
      <c r="H6" s="24">
        <f>H7+H20</f>
        <v>0</v>
      </c>
      <c r="I6" s="24">
        <f>I7+I20</f>
        <v>923032.1680270754</v>
      </c>
      <c r="J6" s="24">
        <f>J7+J20</f>
        <v>978419</v>
      </c>
      <c r="K6" s="99">
        <f>K7+K20</f>
        <v>957340</v>
      </c>
      <c r="L6" s="100">
        <f>L7+L20</f>
        <v>957340</v>
      </c>
    </row>
    <row r="7" spans="1:12" ht="13.5" customHeight="1">
      <c r="A7" s="21"/>
      <c r="B7" s="114" t="s">
        <v>17</v>
      </c>
      <c r="C7" s="57" t="s">
        <v>18</v>
      </c>
      <c r="D7" s="58">
        <f>D8+D12+D18</f>
        <v>7231562.689999999</v>
      </c>
      <c r="E7" s="59">
        <f t="shared" si="0"/>
        <v>959793.3094432276</v>
      </c>
      <c r="F7" s="164">
        <f>F8+F12+F18</f>
        <v>6857403.869999999</v>
      </c>
      <c r="G7" s="165"/>
      <c r="H7" s="58">
        <f>H8+H12+H18</f>
        <v>0</v>
      </c>
      <c r="I7" s="58">
        <f aca="true" t="shared" si="1" ref="I7:I24">F7/7.5345</f>
        <v>910133.9000597252</v>
      </c>
      <c r="J7" s="58">
        <f>J8+J12+J18</f>
        <v>972997</v>
      </c>
      <c r="K7" s="98">
        <f>K8+K12+K18</f>
        <v>952248</v>
      </c>
      <c r="L7" s="101">
        <f>L8+L12+L18</f>
        <v>952248</v>
      </c>
    </row>
    <row r="8" spans="1:12" ht="13.5" customHeight="1">
      <c r="A8" s="21"/>
      <c r="B8" s="115" t="s">
        <v>27</v>
      </c>
      <c r="C8" s="25" t="s">
        <v>28</v>
      </c>
      <c r="D8" s="26">
        <f>SUM(D9:D11)</f>
        <v>5974390.539999999</v>
      </c>
      <c r="E8" s="49">
        <f t="shared" si="0"/>
        <v>792937.8910345741</v>
      </c>
      <c r="F8" s="150">
        <v>5576015.31</v>
      </c>
      <c r="G8" s="151"/>
      <c r="H8" s="26">
        <f>SUM(H9:H11)</f>
        <v>0</v>
      </c>
      <c r="I8" s="26">
        <f t="shared" si="1"/>
        <v>740064.4117061516</v>
      </c>
      <c r="J8" s="26">
        <f>SUM(J9:J11)</f>
        <v>825905</v>
      </c>
      <c r="K8" s="97">
        <f>SUM(K9:K11)</f>
        <v>806480</v>
      </c>
      <c r="L8" s="102">
        <v>806480</v>
      </c>
    </row>
    <row r="9" spans="1:12" ht="13.5" customHeight="1">
      <c r="A9" s="21"/>
      <c r="B9" s="116" t="s">
        <v>108</v>
      </c>
      <c r="C9" s="27" t="s">
        <v>109</v>
      </c>
      <c r="D9" s="28">
        <v>4911575.31</v>
      </c>
      <c r="E9" s="94">
        <f t="shared" si="0"/>
        <v>651878.0688831374</v>
      </c>
      <c r="F9" s="148">
        <v>4558235.26</v>
      </c>
      <c r="G9" s="149"/>
      <c r="H9" s="28"/>
      <c r="I9" s="28">
        <f t="shared" si="1"/>
        <v>604981.7851217731</v>
      </c>
      <c r="J9" s="29">
        <v>674792</v>
      </c>
      <c r="K9" s="29">
        <f>674792-17225</f>
        <v>657567</v>
      </c>
      <c r="L9" s="103">
        <v>657567</v>
      </c>
    </row>
    <row r="10" spans="1:12" ht="13.5" customHeight="1">
      <c r="A10" s="21"/>
      <c r="B10" s="116" t="s">
        <v>110</v>
      </c>
      <c r="C10" s="27" t="s">
        <v>111</v>
      </c>
      <c r="D10" s="29">
        <v>258956.96</v>
      </c>
      <c r="E10" s="94">
        <f t="shared" si="0"/>
        <v>34369.49498971398</v>
      </c>
      <c r="F10" s="148">
        <v>231141</v>
      </c>
      <c r="G10" s="149"/>
      <c r="H10" s="28"/>
      <c r="I10" s="28">
        <f t="shared" si="1"/>
        <v>30677.68265976508</v>
      </c>
      <c r="J10" s="29">
        <v>30160</v>
      </c>
      <c r="K10" s="29">
        <f>J10-1100</f>
        <v>29060</v>
      </c>
      <c r="L10" s="103">
        <v>29060</v>
      </c>
    </row>
    <row r="11" spans="1:12" ht="13.5" customHeight="1">
      <c r="A11" s="21"/>
      <c r="B11" s="116" t="s">
        <v>112</v>
      </c>
      <c r="C11" s="27" t="s">
        <v>113</v>
      </c>
      <c r="D11" s="30">
        <v>803858.27</v>
      </c>
      <c r="E11" s="94">
        <f t="shared" si="0"/>
        <v>106690.32716172274</v>
      </c>
      <c r="F11" s="148">
        <v>786639.05</v>
      </c>
      <c r="G11" s="149"/>
      <c r="H11" s="28"/>
      <c r="I11" s="28">
        <f t="shared" si="1"/>
        <v>104404.94392461344</v>
      </c>
      <c r="J11" s="29">
        <v>120953</v>
      </c>
      <c r="K11" s="29">
        <f>J11-1100</f>
        <v>119853</v>
      </c>
      <c r="L11" s="104">
        <v>119853</v>
      </c>
    </row>
    <row r="12" spans="1:12" ht="13.5" customHeight="1">
      <c r="A12" s="21"/>
      <c r="B12" s="115" t="s">
        <v>19</v>
      </c>
      <c r="C12" s="25" t="s">
        <v>20</v>
      </c>
      <c r="D12" s="26">
        <f>SUM(D13:D17)</f>
        <v>1208103.39</v>
      </c>
      <c r="E12" s="49">
        <f t="shared" si="0"/>
        <v>160342.87477603025</v>
      </c>
      <c r="F12" s="150">
        <v>1274288.56</v>
      </c>
      <c r="G12" s="151"/>
      <c r="H12" s="26">
        <f>SUM(H13:H17)</f>
        <v>0</v>
      </c>
      <c r="I12" s="26">
        <f t="shared" si="1"/>
        <v>169127.1564138297</v>
      </c>
      <c r="J12" s="97">
        <f>SUM(J13:J17)</f>
        <v>145752</v>
      </c>
      <c r="K12" s="97">
        <f>SUM(K13:K17)</f>
        <v>144428</v>
      </c>
      <c r="L12" s="105">
        <f>SUM(L13:L17)</f>
        <v>144428</v>
      </c>
    </row>
    <row r="13" spans="1:12" ht="13.5" customHeight="1">
      <c r="A13" s="21"/>
      <c r="B13" s="116" t="s">
        <v>114</v>
      </c>
      <c r="C13" s="27" t="s">
        <v>115</v>
      </c>
      <c r="D13" s="28">
        <v>244480.36</v>
      </c>
      <c r="E13" s="50">
        <f t="shared" si="0"/>
        <v>32448.119981418804</v>
      </c>
      <c r="F13" s="148">
        <v>494573.68</v>
      </c>
      <c r="G13" s="149"/>
      <c r="H13" s="28"/>
      <c r="I13" s="28">
        <f t="shared" si="1"/>
        <v>65641.20777755657</v>
      </c>
      <c r="J13" s="29">
        <v>61512</v>
      </c>
      <c r="K13" s="29">
        <f>J13-1324</f>
        <v>60188</v>
      </c>
      <c r="L13" s="104">
        <v>60188</v>
      </c>
    </row>
    <row r="14" spans="1:12" ht="13.5" customHeight="1">
      <c r="A14" s="21"/>
      <c r="B14" s="116" t="s">
        <v>116</v>
      </c>
      <c r="C14" s="27" t="s">
        <v>117</v>
      </c>
      <c r="D14" s="28">
        <v>261936.07</v>
      </c>
      <c r="E14" s="91">
        <f t="shared" si="0"/>
        <v>34764.89083549008</v>
      </c>
      <c r="F14" s="148">
        <v>301790.23</v>
      </c>
      <c r="G14" s="149"/>
      <c r="H14" s="28"/>
      <c r="I14" s="28">
        <f t="shared" si="1"/>
        <v>40054.446877695926</v>
      </c>
      <c r="J14" s="29">
        <v>41573</v>
      </c>
      <c r="K14" s="29">
        <v>41573</v>
      </c>
      <c r="L14" s="104">
        <v>41573</v>
      </c>
    </row>
    <row r="15" spans="1:12" ht="13.5" customHeight="1">
      <c r="A15" s="21"/>
      <c r="B15" s="116" t="s">
        <v>118</v>
      </c>
      <c r="C15" s="27" t="s">
        <v>119</v>
      </c>
      <c r="D15" s="28">
        <v>552789.06</v>
      </c>
      <c r="E15" s="91">
        <f t="shared" si="0"/>
        <v>73367.71650408123</v>
      </c>
      <c r="F15" s="148">
        <v>344987.89</v>
      </c>
      <c r="G15" s="149"/>
      <c r="H15" s="28"/>
      <c r="I15" s="28">
        <f t="shared" si="1"/>
        <v>45787.76162983609</v>
      </c>
      <c r="J15" s="29">
        <v>31763</v>
      </c>
      <c r="K15" s="29">
        <v>31763</v>
      </c>
      <c r="L15" s="104">
        <v>31763</v>
      </c>
    </row>
    <row r="16" spans="1:12" ht="13.5" customHeight="1">
      <c r="A16" s="21"/>
      <c r="B16" s="116">
        <v>324</v>
      </c>
      <c r="C16" s="31" t="s">
        <v>120</v>
      </c>
      <c r="D16" s="30">
        <v>17634.96</v>
      </c>
      <c r="E16" s="91">
        <f t="shared" si="0"/>
        <v>2340.5614174795937</v>
      </c>
      <c r="F16" s="161">
        <v>400</v>
      </c>
      <c r="G16" s="162"/>
      <c r="H16" s="32"/>
      <c r="I16" s="28">
        <f t="shared" si="1"/>
        <v>53.08912336585042</v>
      </c>
      <c r="J16" s="29">
        <v>2708</v>
      </c>
      <c r="K16" s="29">
        <v>2708</v>
      </c>
      <c r="L16" s="104">
        <v>2708</v>
      </c>
    </row>
    <row r="17" spans="1:12" ht="13.5" customHeight="1">
      <c r="A17" s="21"/>
      <c r="B17" s="116" t="s">
        <v>121</v>
      </c>
      <c r="C17" s="27" t="s">
        <v>122</v>
      </c>
      <c r="D17" s="28">
        <v>131262.94</v>
      </c>
      <c r="E17" s="91">
        <f t="shared" si="0"/>
        <v>17421.586037560555</v>
      </c>
      <c r="F17" s="148">
        <v>132536.76</v>
      </c>
      <c r="G17" s="149"/>
      <c r="H17" s="28"/>
      <c r="I17" s="28">
        <f t="shared" si="1"/>
        <v>17590.651005375275</v>
      </c>
      <c r="J17" s="29">
        <v>8196</v>
      </c>
      <c r="K17" s="29">
        <v>8196</v>
      </c>
      <c r="L17" s="104">
        <v>8196</v>
      </c>
    </row>
    <row r="18" spans="1:12" ht="13.5" customHeight="1">
      <c r="A18" s="21"/>
      <c r="B18" s="115" t="s">
        <v>21</v>
      </c>
      <c r="C18" s="25" t="s">
        <v>22</v>
      </c>
      <c r="D18" s="33">
        <f>D19</f>
        <v>49068.76</v>
      </c>
      <c r="E18" s="52">
        <f t="shared" si="0"/>
        <v>6512.543632623267</v>
      </c>
      <c r="F18" s="163">
        <v>7100</v>
      </c>
      <c r="G18" s="151"/>
      <c r="H18" s="33">
        <f>H19</f>
        <v>0</v>
      </c>
      <c r="I18" s="33">
        <f t="shared" si="1"/>
        <v>942.3319397438449</v>
      </c>
      <c r="J18" s="97">
        <f>J19</f>
        <v>1340</v>
      </c>
      <c r="K18" s="97">
        <f>K19</f>
        <v>1340</v>
      </c>
      <c r="L18" s="105">
        <f>L19</f>
        <v>1340</v>
      </c>
    </row>
    <row r="19" spans="1:12" ht="13.5" customHeight="1">
      <c r="A19" s="21"/>
      <c r="B19" s="116" t="s">
        <v>123</v>
      </c>
      <c r="C19" s="27" t="s">
        <v>124</v>
      </c>
      <c r="D19" s="30">
        <v>49068.76</v>
      </c>
      <c r="E19" s="51">
        <f t="shared" si="0"/>
        <v>6512.543632623267</v>
      </c>
      <c r="F19" s="161">
        <v>7100</v>
      </c>
      <c r="G19" s="149"/>
      <c r="H19" s="30">
        <f>H42</f>
        <v>0</v>
      </c>
      <c r="I19" s="30">
        <f t="shared" si="1"/>
        <v>942.3319397438449</v>
      </c>
      <c r="J19" s="29">
        <v>1340</v>
      </c>
      <c r="K19" s="29">
        <v>1340</v>
      </c>
      <c r="L19" s="104">
        <v>1340</v>
      </c>
    </row>
    <row r="20" spans="1:12" ht="21" customHeight="1">
      <c r="A20" s="21"/>
      <c r="B20" s="114" t="s">
        <v>34</v>
      </c>
      <c r="C20" s="57" t="s">
        <v>35</v>
      </c>
      <c r="D20" s="58">
        <f>D23</f>
        <v>112883.69</v>
      </c>
      <c r="E20" s="59">
        <f t="shared" si="0"/>
        <v>14982.24036100604</v>
      </c>
      <c r="F20" s="164">
        <f>F21+F23</f>
        <v>97182</v>
      </c>
      <c r="G20" s="165"/>
      <c r="H20" s="58">
        <f>H23</f>
        <v>0</v>
      </c>
      <c r="I20" s="58">
        <f t="shared" si="1"/>
        <v>12898.267967350188</v>
      </c>
      <c r="J20" s="98">
        <f>J23+J21</f>
        <v>5422</v>
      </c>
      <c r="K20" s="98">
        <f>K23</f>
        <v>5092</v>
      </c>
      <c r="L20" s="106">
        <f>L23</f>
        <v>5092</v>
      </c>
    </row>
    <row r="21" spans="1:12" ht="13.5" customHeight="1">
      <c r="A21" s="21"/>
      <c r="B21" s="115">
        <v>41</v>
      </c>
      <c r="C21" s="95" t="s">
        <v>173</v>
      </c>
      <c r="D21" s="26">
        <v>0</v>
      </c>
      <c r="E21" s="94">
        <v>0</v>
      </c>
      <c r="F21" s="94">
        <v>37500</v>
      </c>
      <c r="G21" s="93"/>
      <c r="H21" s="26"/>
      <c r="I21" s="26">
        <f t="shared" si="1"/>
        <v>4977.105315548477</v>
      </c>
      <c r="J21" s="97">
        <v>0</v>
      </c>
      <c r="K21" s="97">
        <v>0</v>
      </c>
      <c r="L21" s="105">
        <v>0</v>
      </c>
    </row>
    <row r="22" spans="1:12" ht="13.5" customHeight="1">
      <c r="A22" s="21"/>
      <c r="B22" s="116">
        <v>412</v>
      </c>
      <c r="C22" s="96" t="s">
        <v>174</v>
      </c>
      <c r="D22" s="28">
        <v>0</v>
      </c>
      <c r="E22" s="91">
        <v>0</v>
      </c>
      <c r="F22" s="91">
        <v>37500</v>
      </c>
      <c r="G22" s="92"/>
      <c r="H22" s="28"/>
      <c r="I22" s="28">
        <f t="shared" si="1"/>
        <v>4977.105315548477</v>
      </c>
      <c r="J22" s="29">
        <v>0</v>
      </c>
      <c r="K22" s="29">
        <v>0</v>
      </c>
      <c r="L22" s="107">
        <v>0</v>
      </c>
    </row>
    <row r="23" spans="1:12" ht="22.5" customHeight="1">
      <c r="A23" s="21"/>
      <c r="B23" s="115" t="s">
        <v>36</v>
      </c>
      <c r="C23" s="25" t="s">
        <v>125</v>
      </c>
      <c r="D23" s="26">
        <f>D24</f>
        <v>112883.69</v>
      </c>
      <c r="E23" s="49">
        <f>D23/7.5345</f>
        <v>14982.24036100604</v>
      </c>
      <c r="F23" s="150">
        <v>59682</v>
      </c>
      <c r="G23" s="151"/>
      <c r="H23" s="26">
        <f>H24</f>
        <v>0</v>
      </c>
      <c r="I23" s="26">
        <f t="shared" si="1"/>
        <v>7921.162651801712</v>
      </c>
      <c r="J23" s="97">
        <f>J24</f>
        <v>5422</v>
      </c>
      <c r="K23" s="97">
        <v>5092</v>
      </c>
      <c r="L23" s="105">
        <f>L24</f>
        <v>5092</v>
      </c>
    </row>
    <row r="24" spans="1:12" ht="13.5" customHeight="1">
      <c r="A24" s="21"/>
      <c r="B24" s="116" t="s">
        <v>126</v>
      </c>
      <c r="C24" s="27" t="s">
        <v>127</v>
      </c>
      <c r="D24" s="28">
        <v>112883.69</v>
      </c>
      <c r="E24" s="108">
        <f>D24/7.5345</f>
        <v>14982.24036100604</v>
      </c>
      <c r="F24" s="159">
        <v>59682</v>
      </c>
      <c r="G24" s="160"/>
      <c r="H24" s="28"/>
      <c r="I24" s="28">
        <f t="shared" si="1"/>
        <v>7921.162651801712</v>
      </c>
      <c r="J24" s="29">
        <v>5422</v>
      </c>
      <c r="K24" s="29">
        <v>5092</v>
      </c>
      <c r="L24" s="104">
        <v>5092</v>
      </c>
    </row>
    <row r="25" spans="1:12" ht="13.5" customHeight="1">
      <c r="A25" s="109"/>
      <c r="B25" s="110"/>
      <c r="C25" s="111"/>
      <c r="D25" s="111"/>
      <c r="E25" s="111"/>
      <c r="F25" s="111"/>
      <c r="G25" s="111"/>
      <c r="H25" s="111"/>
      <c r="I25" s="111"/>
      <c r="J25" s="111"/>
      <c r="K25" s="112"/>
      <c r="L25" s="113"/>
    </row>
    <row r="26" ht="13.5" customHeight="1" hidden="1"/>
    <row r="27" ht="13.5" customHeight="1" hidden="1"/>
    <row r="28" ht="13.5" customHeight="1" hidden="1"/>
    <row r="29" ht="13.5" customHeight="1" hidden="1"/>
    <row r="30" ht="13.5" customHeight="1" hidden="1"/>
    <row r="31" ht="13.5" customHeight="1" hidden="1"/>
    <row r="32" ht="13.5" customHeight="1" hidden="1"/>
    <row r="33" ht="13.5" customHeight="1"/>
    <row r="34" ht="12" customHeight="1" thickBot="1"/>
    <row r="35" spans="1:12" ht="22.5">
      <c r="A35" s="1" t="s">
        <v>1</v>
      </c>
      <c r="B35" s="1" t="s">
        <v>2</v>
      </c>
      <c r="C35" s="1" t="s">
        <v>3</v>
      </c>
      <c r="D35" s="53" t="s">
        <v>165</v>
      </c>
      <c r="E35" s="53" t="s">
        <v>164</v>
      </c>
      <c r="F35" s="53" t="s">
        <v>167</v>
      </c>
      <c r="G35" s="154" t="s">
        <v>4</v>
      </c>
      <c r="H35" s="155"/>
      <c r="I35" s="53" t="s">
        <v>169</v>
      </c>
      <c r="J35" s="1" t="s">
        <v>5</v>
      </c>
      <c r="K35" s="2" t="s">
        <v>6</v>
      </c>
      <c r="L35" s="2" t="s">
        <v>7</v>
      </c>
    </row>
    <row r="36" spans="1:12" ht="12.75">
      <c r="A36" s="3"/>
      <c r="B36" s="3"/>
      <c r="C36" s="3"/>
      <c r="D36" s="3"/>
      <c r="E36" s="3"/>
      <c r="F36" s="3"/>
      <c r="G36" s="166"/>
      <c r="H36" s="167"/>
      <c r="I36" s="17"/>
      <c r="J36" s="3"/>
      <c r="K36" s="3"/>
      <c r="L36" s="3"/>
    </row>
    <row r="37" spans="1:12" ht="12.75">
      <c r="A37" s="4"/>
      <c r="B37" s="4"/>
      <c r="C37" s="4"/>
      <c r="D37" s="4"/>
      <c r="E37" s="4"/>
      <c r="F37" s="4"/>
      <c r="G37" s="168"/>
      <c r="H37" s="169"/>
      <c r="I37" s="18"/>
      <c r="J37" s="4"/>
      <c r="K37" s="4"/>
      <c r="L37" s="4"/>
    </row>
    <row r="38" spans="1:12" ht="12.75">
      <c r="A38" s="55" t="s">
        <v>8</v>
      </c>
      <c r="B38" s="170" t="s">
        <v>9</v>
      </c>
      <c r="C38" s="171"/>
      <c r="D38" s="56">
        <f>D40</f>
        <v>7344446.38</v>
      </c>
      <c r="E38" s="56">
        <f>D38/7.5345</f>
        <v>974775.5498042338</v>
      </c>
      <c r="F38" s="56">
        <v>6954585.87</v>
      </c>
      <c r="G38" s="172">
        <v>414825.7</v>
      </c>
      <c r="H38" s="171"/>
      <c r="I38" s="80">
        <f>F38/7.5345</f>
        <v>923032.1680270755</v>
      </c>
      <c r="J38" s="56">
        <v>978419</v>
      </c>
      <c r="K38" s="56">
        <v>957340</v>
      </c>
      <c r="L38" s="56">
        <v>957340</v>
      </c>
    </row>
    <row r="39" spans="1:12" ht="12.75">
      <c r="A39" s="5" t="s">
        <v>10</v>
      </c>
      <c r="B39" s="175" t="s">
        <v>11</v>
      </c>
      <c r="C39" s="155"/>
      <c r="D39" s="6">
        <v>7162748.53</v>
      </c>
      <c r="E39" s="6"/>
      <c r="F39" s="6">
        <v>6954585.87</v>
      </c>
      <c r="G39" s="176">
        <v>414825.7</v>
      </c>
      <c r="H39" s="155"/>
      <c r="I39" s="81"/>
      <c r="J39" s="6">
        <v>7369411.57</v>
      </c>
      <c r="K39" s="6">
        <v>7203079.95</v>
      </c>
      <c r="L39" s="6">
        <v>7203079.95</v>
      </c>
    </row>
    <row r="40" spans="1:12" ht="15" customHeight="1">
      <c r="A40" s="63" t="s">
        <v>12</v>
      </c>
      <c r="B40" s="177" t="s">
        <v>13</v>
      </c>
      <c r="C40" s="178"/>
      <c r="D40" s="64">
        <f>D43+D48+D52+D60+D67+D71+D76+D80+D87+D94+D100+D104+D107+D126+D130+D134+D142</f>
        <v>7344446.38</v>
      </c>
      <c r="E40" s="64">
        <f>D40/7.5345</f>
        <v>974775.5498042338</v>
      </c>
      <c r="F40" s="64">
        <v>6004292.24</v>
      </c>
      <c r="G40" s="179">
        <v>649545.26</v>
      </c>
      <c r="H40" s="178"/>
      <c r="I40" s="82">
        <f>F40/7.5345</f>
        <v>796906.5286349459</v>
      </c>
      <c r="J40" s="64">
        <f>6653837.5/7.5345</f>
        <v>883115.9997345543</v>
      </c>
      <c r="K40" s="64">
        <f>6653837.5/7.5345</f>
        <v>883115.9997345543</v>
      </c>
      <c r="L40" s="64">
        <f>6653837.5/7.5345</f>
        <v>883115.9997345543</v>
      </c>
    </row>
    <row r="41" spans="1:12" ht="12.75">
      <c r="A41" s="7"/>
      <c r="B41" s="180"/>
      <c r="C41" s="181"/>
      <c r="D41" s="8"/>
      <c r="E41" s="8"/>
      <c r="F41" s="8"/>
      <c r="G41" s="182"/>
      <c r="H41" s="181"/>
      <c r="I41" s="83"/>
      <c r="J41" s="8"/>
      <c r="K41" s="8"/>
      <c r="L41" s="8"/>
    </row>
    <row r="42" spans="1:12" ht="12.75">
      <c r="A42" s="9"/>
      <c r="B42" s="183" t="s">
        <v>14</v>
      </c>
      <c r="C42" s="153"/>
      <c r="D42" s="10"/>
      <c r="E42" s="10"/>
      <c r="F42" s="10"/>
      <c r="G42" s="184"/>
      <c r="H42" s="153"/>
      <c r="I42" s="84"/>
      <c r="J42" s="10"/>
      <c r="K42" s="10"/>
      <c r="L42" s="10"/>
    </row>
    <row r="43" spans="1:12" ht="12.75">
      <c r="A43" s="9" t="s">
        <v>15</v>
      </c>
      <c r="B43" s="183" t="s">
        <v>16</v>
      </c>
      <c r="C43" s="153"/>
      <c r="D43" s="11">
        <v>241402.2</v>
      </c>
      <c r="E43" s="11">
        <f>D43/7.5345</f>
        <v>32039.57794146924</v>
      </c>
      <c r="F43" s="11">
        <v>236155.8</v>
      </c>
      <c r="G43" s="185">
        <v>-1.97</v>
      </c>
      <c r="H43" s="153"/>
      <c r="I43" s="85">
        <f>F43/7.5345</f>
        <v>31343.260999402744</v>
      </c>
      <c r="J43" s="11">
        <f aca="true" t="shared" si="2" ref="J43:L44">236153.83/7.5345</f>
        <v>31342.999535470168</v>
      </c>
      <c r="K43" s="11">
        <f t="shared" si="2"/>
        <v>31342.999535470168</v>
      </c>
      <c r="L43" s="11">
        <f t="shared" si="2"/>
        <v>31342.999535470168</v>
      </c>
    </row>
    <row r="44" spans="1:12" ht="12.75">
      <c r="A44" s="12"/>
      <c r="B44" s="12" t="s">
        <v>17</v>
      </c>
      <c r="C44" s="12" t="s">
        <v>18</v>
      </c>
      <c r="D44" s="13">
        <v>241402.2</v>
      </c>
      <c r="E44" s="13">
        <f>D44/7.5345</f>
        <v>32039.57794146924</v>
      </c>
      <c r="F44" s="13">
        <v>236155.8</v>
      </c>
      <c r="G44" s="186">
        <v>-1.97</v>
      </c>
      <c r="H44" s="153"/>
      <c r="I44" s="86">
        <f aca="true" t="shared" si="3" ref="I44:I107">F44/7.5345</f>
        <v>31343.260999402744</v>
      </c>
      <c r="J44" s="13">
        <f t="shared" si="2"/>
        <v>31342.999535470168</v>
      </c>
      <c r="K44" s="13">
        <f t="shared" si="2"/>
        <v>31342.999535470168</v>
      </c>
      <c r="L44" s="13">
        <f t="shared" si="2"/>
        <v>31342.999535470168</v>
      </c>
    </row>
    <row r="45" spans="1:12" ht="12.75">
      <c r="A45" s="12"/>
      <c r="B45" s="14" t="s">
        <v>19</v>
      </c>
      <c r="C45" s="14" t="s">
        <v>20</v>
      </c>
      <c r="D45" s="15">
        <v>231992.2</v>
      </c>
      <c r="E45" s="15">
        <f>D45/7.5345</f>
        <v>30790.65631428761</v>
      </c>
      <c r="F45" s="15">
        <v>229055.8</v>
      </c>
      <c r="G45" s="187">
        <v>-2998.2</v>
      </c>
      <c r="H45" s="153"/>
      <c r="I45" s="85">
        <f t="shared" si="3"/>
        <v>30400.929059658898</v>
      </c>
      <c r="J45" s="15">
        <f>226057.6/7.5345</f>
        <v>30002.99953547017</v>
      </c>
      <c r="K45" s="15">
        <f>226057.6/7.5345</f>
        <v>30002.99953547017</v>
      </c>
      <c r="L45" s="15">
        <f>226057.6/7.5345</f>
        <v>30002.99953547017</v>
      </c>
    </row>
    <row r="46" spans="1:12" ht="12.75">
      <c r="A46" s="12"/>
      <c r="B46" s="14" t="s">
        <v>21</v>
      </c>
      <c r="C46" s="14" t="s">
        <v>22</v>
      </c>
      <c r="D46" s="15">
        <v>9410</v>
      </c>
      <c r="E46" s="15">
        <f>D46/7.5345</f>
        <v>1248.921627181631</v>
      </c>
      <c r="F46" s="15">
        <v>7100</v>
      </c>
      <c r="G46" s="187">
        <v>2996.23</v>
      </c>
      <c r="H46" s="153"/>
      <c r="I46" s="85">
        <f t="shared" si="3"/>
        <v>942.3319397438449</v>
      </c>
      <c r="J46" s="15">
        <f>10096.23/7.5345</f>
        <v>1339.9999999999998</v>
      </c>
      <c r="K46" s="15">
        <f>10096.23/7.5345</f>
        <v>1339.9999999999998</v>
      </c>
      <c r="L46" s="15">
        <f>10096.23/7.5345</f>
        <v>1339.9999999999998</v>
      </c>
    </row>
    <row r="47" spans="1:12" ht="12.75">
      <c r="A47" s="9"/>
      <c r="B47" s="183" t="s">
        <v>14</v>
      </c>
      <c r="C47" s="153"/>
      <c r="D47" s="10"/>
      <c r="E47" s="10"/>
      <c r="F47" s="10"/>
      <c r="G47" s="184"/>
      <c r="H47" s="153"/>
      <c r="I47" s="85">
        <f t="shared" si="3"/>
        <v>0</v>
      </c>
      <c r="J47" s="10"/>
      <c r="K47" s="10"/>
      <c r="L47" s="10"/>
    </row>
    <row r="48" spans="1:12" ht="12.75">
      <c r="A48" s="9" t="s">
        <v>23</v>
      </c>
      <c r="B48" s="183" t="s">
        <v>24</v>
      </c>
      <c r="C48" s="153"/>
      <c r="D48" s="11">
        <f>D49</f>
        <v>316223.26</v>
      </c>
      <c r="E48" s="11">
        <f>D48/7.5345</f>
        <v>41970.039153228485</v>
      </c>
      <c r="F48" s="11">
        <v>400445.44</v>
      </c>
      <c r="G48" s="185">
        <v>-1.83</v>
      </c>
      <c r="H48" s="153"/>
      <c r="I48" s="85">
        <f t="shared" si="3"/>
        <v>53148.24341363063</v>
      </c>
      <c r="J48" s="11">
        <f>400443.61/7.5345</f>
        <v>53148.00053089123</v>
      </c>
      <c r="K48" s="11">
        <f aca="true" t="shared" si="4" ref="K48:L50">400443.61/7.5345</f>
        <v>53148.00053089123</v>
      </c>
      <c r="L48" s="11">
        <f t="shared" si="4"/>
        <v>53148.00053089123</v>
      </c>
    </row>
    <row r="49" spans="1:12" ht="12.75">
      <c r="A49" s="12"/>
      <c r="B49" s="12" t="s">
        <v>17</v>
      </c>
      <c r="C49" s="12" t="s">
        <v>18</v>
      </c>
      <c r="D49" s="13">
        <f>D50</f>
        <v>316223.26</v>
      </c>
      <c r="E49" s="13">
        <f>D49/7.5345</f>
        <v>41970.039153228485</v>
      </c>
      <c r="F49" s="13">
        <v>400445.44</v>
      </c>
      <c r="G49" s="186">
        <v>-1.83</v>
      </c>
      <c r="H49" s="153"/>
      <c r="I49" s="86">
        <f t="shared" si="3"/>
        <v>53148.24341363063</v>
      </c>
      <c r="J49" s="13">
        <f>400443.61/7.5345</f>
        <v>53148.00053089123</v>
      </c>
      <c r="K49" s="13">
        <f t="shared" si="4"/>
        <v>53148.00053089123</v>
      </c>
      <c r="L49" s="13">
        <f t="shared" si="4"/>
        <v>53148.00053089123</v>
      </c>
    </row>
    <row r="50" spans="1:12" ht="12.75">
      <c r="A50" s="12"/>
      <c r="B50" s="14" t="s">
        <v>19</v>
      </c>
      <c r="C50" s="14" t="s">
        <v>20</v>
      </c>
      <c r="D50" s="15">
        <v>316223.26</v>
      </c>
      <c r="E50" s="15">
        <f>D50/7.5345</f>
        <v>41970.039153228485</v>
      </c>
      <c r="F50" s="15">
        <v>400445.44</v>
      </c>
      <c r="G50" s="187">
        <v>-1.83</v>
      </c>
      <c r="H50" s="153"/>
      <c r="I50" s="85">
        <f t="shared" si="3"/>
        <v>53148.24341363063</v>
      </c>
      <c r="J50" s="15">
        <f>400443.61/7.5345</f>
        <v>53148.00053089123</v>
      </c>
      <c r="K50" s="15">
        <f t="shared" si="4"/>
        <v>53148.00053089123</v>
      </c>
      <c r="L50" s="15">
        <f t="shared" si="4"/>
        <v>53148.00053089123</v>
      </c>
    </row>
    <row r="51" spans="1:12" ht="12.75">
      <c r="A51" s="9"/>
      <c r="B51" s="183" t="s">
        <v>14</v>
      </c>
      <c r="C51" s="153"/>
      <c r="D51" s="10"/>
      <c r="E51" s="10"/>
      <c r="F51" s="10"/>
      <c r="G51" s="184"/>
      <c r="H51" s="153"/>
      <c r="I51" s="85">
        <f t="shared" si="3"/>
        <v>0</v>
      </c>
      <c r="J51" s="10"/>
      <c r="K51" s="10"/>
      <c r="L51" s="10"/>
    </row>
    <row r="52" spans="1:12" ht="12.75">
      <c r="A52" s="9" t="s">
        <v>25</v>
      </c>
      <c r="B52" s="183" t="s">
        <v>26</v>
      </c>
      <c r="C52" s="153"/>
      <c r="D52" s="11">
        <f>D53</f>
        <v>5827649.72</v>
      </c>
      <c r="E52" s="11">
        <f aca="true" t="shared" si="5" ref="E52:E57">D52/7.5345</f>
        <v>773462.0372951091</v>
      </c>
      <c r="F52" s="11">
        <v>5367691</v>
      </c>
      <c r="G52" s="185">
        <v>649549.06</v>
      </c>
      <c r="H52" s="153"/>
      <c r="I52" s="85">
        <f t="shared" si="3"/>
        <v>712415.0242219125</v>
      </c>
      <c r="J52" s="11">
        <f aca="true" t="shared" si="6" ref="J52:L53">6017240.06/7.5345</f>
        <v>798624.9996681929</v>
      </c>
      <c r="K52" s="11">
        <f t="shared" si="6"/>
        <v>798624.9996681929</v>
      </c>
      <c r="L52" s="11">
        <f t="shared" si="6"/>
        <v>798624.9996681929</v>
      </c>
    </row>
    <row r="53" spans="1:12" ht="12.75">
      <c r="A53" s="12"/>
      <c r="B53" s="12" t="s">
        <v>17</v>
      </c>
      <c r="C53" s="12" t="s">
        <v>18</v>
      </c>
      <c r="D53" s="13">
        <f>D54+D55+D56</f>
        <v>5827649.72</v>
      </c>
      <c r="E53" s="13">
        <f t="shared" si="5"/>
        <v>773462.0372951091</v>
      </c>
      <c r="F53" s="13">
        <v>5367691</v>
      </c>
      <c r="G53" s="186">
        <v>649549.06</v>
      </c>
      <c r="H53" s="153"/>
      <c r="I53" s="86">
        <f t="shared" si="3"/>
        <v>712415.0242219125</v>
      </c>
      <c r="J53" s="13">
        <f t="shared" si="6"/>
        <v>798624.9996681929</v>
      </c>
      <c r="K53" s="13">
        <f t="shared" si="6"/>
        <v>798624.9996681929</v>
      </c>
      <c r="L53" s="13">
        <f t="shared" si="6"/>
        <v>798624.9996681929</v>
      </c>
    </row>
    <row r="54" spans="1:12" ht="12.75">
      <c r="A54" s="12"/>
      <c r="B54" s="14" t="s">
        <v>27</v>
      </c>
      <c r="C54" s="14" t="s">
        <v>28</v>
      </c>
      <c r="D54" s="15">
        <v>5711571.1</v>
      </c>
      <c r="E54" s="15">
        <f t="shared" si="5"/>
        <v>758055.7568518149</v>
      </c>
      <c r="F54" s="15">
        <v>5367691</v>
      </c>
      <c r="G54" s="187">
        <v>629544.96</v>
      </c>
      <c r="H54" s="153"/>
      <c r="I54" s="85">
        <f t="shared" si="3"/>
        <v>712415.0242219125</v>
      </c>
      <c r="J54" s="15">
        <f>5997235.96/7.5345</f>
        <v>795969.9993363859</v>
      </c>
      <c r="K54" s="15">
        <f>5997235.96/7.5345</f>
        <v>795969.9993363859</v>
      </c>
      <c r="L54" s="15">
        <f>5997235.96/7.5345</f>
        <v>795969.9993363859</v>
      </c>
    </row>
    <row r="55" spans="1:12" ht="12.75">
      <c r="A55" s="12"/>
      <c r="B55" s="14" t="s">
        <v>19</v>
      </c>
      <c r="C55" s="14" t="s">
        <v>20</v>
      </c>
      <c r="D55" s="15">
        <v>77095.2</v>
      </c>
      <c r="E55" s="15">
        <f t="shared" si="5"/>
        <v>10232.291459287277</v>
      </c>
      <c r="F55" s="15">
        <v>0</v>
      </c>
      <c r="G55" s="187">
        <v>20004.1</v>
      </c>
      <c r="H55" s="153"/>
      <c r="I55" s="85">
        <f t="shared" si="3"/>
        <v>0</v>
      </c>
      <c r="J55" s="15">
        <f>20004.1/7.5345</f>
        <v>2655.0003318070208</v>
      </c>
      <c r="K55" s="15">
        <f>20004.1/7.5345</f>
        <v>2655.0003318070208</v>
      </c>
      <c r="L55" s="15">
        <f>20004.1/7.5345</f>
        <v>2655.0003318070208</v>
      </c>
    </row>
    <row r="56" spans="1:12" ht="12.75">
      <c r="A56" s="12"/>
      <c r="B56" s="14" t="s">
        <v>21</v>
      </c>
      <c r="C56" s="14" t="s">
        <v>22</v>
      </c>
      <c r="D56" s="15">
        <v>38983.42</v>
      </c>
      <c r="E56" s="15">
        <f t="shared" si="5"/>
        <v>5173.988984006901</v>
      </c>
      <c r="F56" s="15">
        <v>0</v>
      </c>
      <c r="G56" s="187">
        <v>0</v>
      </c>
      <c r="H56" s="153"/>
      <c r="I56" s="85">
        <f t="shared" si="3"/>
        <v>0</v>
      </c>
      <c r="J56" s="15">
        <v>0</v>
      </c>
      <c r="K56" s="15">
        <v>0</v>
      </c>
      <c r="L56" s="15">
        <v>0</v>
      </c>
    </row>
    <row r="57" spans="1:12" ht="12.75">
      <c r="A57" s="63" t="s">
        <v>29</v>
      </c>
      <c r="B57" s="177" t="s">
        <v>30</v>
      </c>
      <c r="C57" s="178"/>
      <c r="D57" s="64">
        <f>D60+D67+D71+D76+D80+D87+D94+D100+D104</f>
        <v>453740.07000000007</v>
      </c>
      <c r="E57" s="64">
        <f t="shared" si="5"/>
        <v>60221.65638064902</v>
      </c>
      <c r="F57" s="64">
        <v>698964.32</v>
      </c>
      <c r="G57" s="179">
        <v>-146730.67</v>
      </c>
      <c r="H57" s="178"/>
      <c r="I57" s="87">
        <f t="shared" si="3"/>
        <v>92768.50753201937</v>
      </c>
      <c r="J57" s="64">
        <f>552233.65/7.5345</f>
        <v>73294.00092905966</v>
      </c>
      <c r="K57" s="65">
        <f>552233.65/7.5345</f>
        <v>73294.00092905966</v>
      </c>
      <c r="L57" s="65">
        <f>552233.65/7.5345</f>
        <v>73294.00092905966</v>
      </c>
    </row>
    <row r="58" spans="1:12" ht="12.75">
      <c r="A58" s="7"/>
      <c r="B58" s="180"/>
      <c r="C58" s="181"/>
      <c r="D58" s="8"/>
      <c r="E58" s="8"/>
      <c r="F58" s="8"/>
      <c r="G58" s="182"/>
      <c r="H58" s="181"/>
      <c r="I58" s="85"/>
      <c r="J58" s="8"/>
      <c r="K58" s="8"/>
      <c r="L58" s="8"/>
    </row>
    <row r="59" spans="1:12" ht="12.75">
      <c r="A59" s="9"/>
      <c r="B59" s="183" t="s">
        <v>31</v>
      </c>
      <c r="C59" s="153"/>
      <c r="D59" s="10"/>
      <c r="E59" s="10"/>
      <c r="F59" s="10"/>
      <c r="G59" s="184"/>
      <c r="H59" s="153"/>
      <c r="I59" s="85"/>
      <c r="J59" s="10"/>
      <c r="K59" s="10"/>
      <c r="L59" s="10"/>
    </row>
    <row r="60" spans="1:12" ht="12.75">
      <c r="A60" s="9" t="s">
        <v>32</v>
      </c>
      <c r="B60" s="183" t="s">
        <v>33</v>
      </c>
      <c r="C60" s="153"/>
      <c r="D60" s="11">
        <f>D64+D61</f>
        <v>15563.39</v>
      </c>
      <c r="E60" s="11">
        <f aca="true" t="shared" si="7" ref="E60:E65">D60/7.5345</f>
        <v>2065.616829252107</v>
      </c>
      <c r="F60" s="11">
        <v>98465.67</v>
      </c>
      <c r="G60" s="185">
        <v>-18946.55</v>
      </c>
      <c r="H60" s="153"/>
      <c r="I60" s="85">
        <f t="shared" si="3"/>
        <v>13068.640254827791</v>
      </c>
      <c r="J60" s="11">
        <f>79519.12/7.5345</f>
        <v>10554.000929059657</v>
      </c>
      <c r="K60" s="11">
        <f>79519.12/7.5345</f>
        <v>10554.000929059657</v>
      </c>
      <c r="L60" s="11">
        <f>79519.12/7.5345</f>
        <v>10554.000929059657</v>
      </c>
    </row>
    <row r="61" spans="1:13" ht="12.75">
      <c r="A61" s="12"/>
      <c r="B61" s="12" t="s">
        <v>17</v>
      </c>
      <c r="C61" s="12" t="s">
        <v>18</v>
      </c>
      <c r="D61" s="13">
        <v>2.34</v>
      </c>
      <c r="E61" s="13">
        <f t="shared" si="7"/>
        <v>0.3105713716902249</v>
      </c>
      <c r="F61" s="13">
        <v>77783.67</v>
      </c>
      <c r="G61" s="186">
        <v>-8255.3</v>
      </c>
      <c r="H61" s="153"/>
      <c r="I61" s="86">
        <f t="shared" si="3"/>
        <v>10323.667131196495</v>
      </c>
      <c r="J61" s="13">
        <f>69528.37/7.5345</f>
        <v>9228.000530891233</v>
      </c>
      <c r="K61" s="13">
        <f aca="true" t="shared" si="8" ref="K61:M62">69528.37/7.5345</f>
        <v>9228.000530891233</v>
      </c>
      <c r="L61" s="13">
        <f t="shared" si="8"/>
        <v>9228.000530891233</v>
      </c>
      <c r="M61" s="13">
        <f t="shared" si="8"/>
        <v>9228.000530891233</v>
      </c>
    </row>
    <row r="62" spans="1:12" ht="12.75">
      <c r="A62" s="12"/>
      <c r="B62" s="14" t="s">
        <v>19</v>
      </c>
      <c r="C62" s="14" t="s">
        <v>20</v>
      </c>
      <c r="D62" s="15">
        <v>0</v>
      </c>
      <c r="E62" s="15">
        <f t="shared" si="7"/>
        <v>0</v>
      </c>
      <c r="F62" s="15">
        <v>77783.67</v>
      </c>
      <c r="G62" s="187">
        <v>-8255.3</v>
      </c>
      <c r="H62" s="153"/>
      <c r="I62" s="85">
        <f t="shared" si="3"/>
        <v>10323.667131196495</v>
      </c>
      <c r="J62" s="15">
        <f>69528.37/7.5345</f>
        <v>9228.000530891233</v>
      </c>
      <c r="K62" s="15">
        <f t="shared" si="8"/>
        <v>9228.000530891233</v>
      </c>
      <c r="L62" s="15">
        <f t="shared" si="8"/>
        <v>9228.000530891233</v>
      </c>
    </row>
    <row r="63" spans="1:12" ht="12.75">
      <c r="A63" s="12"/>
      <c r="B63" s="14" t="s">
        <v>21</v>
      </c>
      <c r="C63" s="14" t="s">
        <v>22</v>
      </c>
      <c r="D63" s="15">
        <v>2.34</v>
      </c>
      <c r="E63" s="15">
        <f t="shared" si="7"/>
        <v>0.3105713716902249</v>
      </c>
      <c r="F63" s="15">
        <v>0</v>
      </c>
      <c r="G63" s="187">
        <v>0</v>
      </c>
      <c r="H63" s="153"/>
      <c r="I63" s="85">
        <f t="shared" si="3"/>
        <v>0</v>
      </c>
      <c r="J63" s="15">
        <v>0</v>
      </c>
      <c r="K63" s="15">
        <v>0</v>
      </c>
      <c r="L63" s="15">
        <v>0</v>
      </c>
    </row>
    <row r="64" spans="1:12" ht="12.75">
      <c r="A64" s="12"/>
      <c r="B64" s="12" t="s">
        <v>34</v>
      </c>
      <c r="C64" s="12" t="s">
        <v>35</v>
      </c>
      <c r="D64" s="13">
        <v>15561.05</v>
      </c>
      <c r="E64" s="13">
        <f t="shared" si="7"/>
        <v>2065.3062578804165</v>
      </c>
      <c r="F64" s="13">
        <v>20682</v>
      </c>
      <c r="G64" s="186">
        <v>-10691.25</v>
      </c>
      <c r="H64" s="153"/>
      <c r="I64" s="88">
        <f t="shared" si="3"/>
        <v>2744.973123631296</v>
      </c>
      <c r="J64" s="13">
        <f aca="true" t="shared" si="9" ref="J64:L65">9990.75/7.5345</f>
        <v>1326.0003981684251</v>
      </c>
      <c r="K64" s="13">
        <f t="shared" si="9"/>
        <v>1326.0003981684251</v>
      </c>
      <c r="L64" s="13">
        <f t="shared" si="9"/>
        <v>1326.0003981684251</v>
      </c>
    </row>
    <row r="65" spans="1:12" ht="22.5">
      <c r="A65" s="12"/>
      <c r="B65" s="14" t="s">
        <v>36</v>
      </c>
      <c r="C65" s="14" t="s">
        <v>37</v>
      </c>
      <c r="D65" s="15">
        <v>15561.05</v>
      </c>
      <c r="E65" s="15">
        <f t="shared" si="7"/>
        <v>2065.3062578804165</v>
      </c>
      <c r="F65" s="15">
        <v>20682</v>
      </c>
      <c r="G65" s="187">
        <v>-10691.25</v>
      </c>
      <c r="H65" s="153"/>
      <c r="I65" s="89">
        <f t="shared" si="3"/>
        <v>2744.973123631296</v>
      </c>
      <c r="J65" s="15">
        <f t="shared" si="9"/>
        <v>1326.0003981684251</v>
      </c>
      <c r="K65" s="15">
        <f t="shared" si="9"/>
        <v>1326.0003981684251</v>
      </c>
      <c r="L65" s="15">
        <f t="shared" si="9"/>
        <v>1326.0003981684251</v>
      </c>
    </row>
    <row r="66" spans="1:12" ht="12.75">
      <c r="A66" s="9"/>
      <c r="B66" s="183" t="s">
        <v>31</v>
      </c>
      <c r="C66" s="153"/>
      <c r="D66" s="10"/>
      <c r="E66" s="10"/>
      <c r="F66" s="10"/>
      <c r="G66" s="184"/>
      <c r="H66" s="153"/>
      <c r="I66" s="85"/>
      <c r="J66" s="10"/>
      <c r="K66" s="10"/>
      <c r="L66" s="10"/>
    </row>
    <row r="67" spans="1:12" ht="12.75">
      <c r="A67" s="9" t="s">
        <v>38</v>
      </c>
      <c r="B67" s="183" t="s">
        <v>39</v>
      </c>
      <c r="C67" s="153"/>
      <c r="D67" s="11">
        <v>31581.12</v>
      </c>
      <c r="E67" s="11">
        <f>D67/7.5345</f>
        <v>4191.534939279315</v>
      </c>
      <c r="F67" s="11">
        <v>0</v>
      </c>
      <c r="G67" s="185">
        <v>0</v>
      </c>
      <c r="H67" s="153"/>
      <c r="I67" s="85">
        <f t="shared" si="3"/>
        <v>0</v>
      </c>
      <c r="J67" s="11">
        <v>0</v>
      </c>
      <c r="K67" s="11">
        <v>0</v>
      </c>
      <c r="L67" s="11">
        <v>0</v>
      </c>
    </row>
    <row r="68" spans="1:12" ht="12.75">
      <c r="A68" s="12"/>
      <c r="B68" s="12" t="s">
        <v>17</v>
      </c>
      <c r="C68" s="12" t="s">
        <v>18</v>
      </c>
      <c r="D68" s="13">
        <v>31581.12</v>
      </c>
      <c r="E68" s="13">
        <f>D68/7.5345</f>
        <v>4191.534939279315</v>
      </c>
      <c r="F68" s="13">
        <v>0</v>
      </c>
      <c r="G68" s="186">
        <v>0</v>
      </c>
      <c r="H68" s="153"/>
      <c r="I68" s="88">
        <f t="shared" si="3"/>
        <v>0</v>
      </c>
      <c r="J68" s="13">
        <v>0</v>
      </c>
      <c r="K68" s="13">
        <v>0</v>
      </c>
      <c r="L68" s="13">
        <v>0</v>
      </c>
    </row>
    <row r="69" spans="1:12" ht="12.75">
      <c r="A69" s="12"/>
      <c r="B69" s="14" t="s">
        <v>27</v>
      </c>
      <c r="C69" s="14" t="s">
        <v>28</v>
      </c>
      <c r="D69" s="15">
        <v>31581.12</v>
      </c>
      <c r="E69" s="15">
        <f>D69/7.5345</f>
        <v>4191.534939279315</v>
      </c>
      <c r="F69" s="15">
        <v>0</v>
      </c>
      <c r="G69" s="187">
        <v>0</v>
      </c>
      <c r="H69" s="153"/>
      <c r="I69" s="85">
        <f t="shared" si="3"/>
        <v>0</v>
      </c>
      <c r="J69" s="15">
        <v>0</v>
      </c>
      <c r="K69" s="15">
        <v>0</v>
      </c>
      <c r="L69" s="15">
        <v>0</v>
      </c>
    </row>
    <row r="70" spans="1:12" ht="12.75">
      <c r="A70" s="9"/>
      <c r="B70" s="183" t="s">
        <v>31</v>
      </c>
      <c r="C70" s="153"/>
      <c r="D70" s="10"/>
      <c r="E70" s="10"/>
      <c r="F70" s="10"/>
      <c r="G70" s="184"/>
      <c r="H70" s="153"/>
      <c r="I70" s="85">
        <f t="shared" si="3"/>
        <v>0</v>
      </c>
      <c r="J70" s="10"/>
      <c r="K70" s="10"/>
      <c r="L70" s="10"/>
    </row>
    <row r="71" spans="1:12" ht="12.75">
      <c r="A71" s="9" t="s">
        <v>40</v>
      </c>
      <c r="B71" s="183" t="s">
        <v>41</v>
      </c>
      <c r="C71" s="153"/>
      <c r="D71" s="11">
        <f>D72</f>
        <v>49419.79</v>
      </c>
      <c r="E71" s="11">
        <f>D71/7.5345</f>
        <v>6559.1333200610525</v>
      </c>
      <c r="F71" s="11">
        <v>70570</v>
      </c>
      <c r="G71" s="185">
        <v>6628.49</v>
      </c>
      <c r="H71" s="153"/>
      <c r="I71" s="85">
        <f t="shared" si="3"/>
        <v>9366.24858982016</v>
      </c>
      <c r="J71" s="11">
        <f aca="true" t="shared" si="10" ref="J71:L72">77198.49/7.5345</f>
        <v>10246.000398168426</v>
      </c>
      <c r="K71" s="11">
        <f t="shared" si="10"/>
        <v>10246.000398168426</v>
      </c>
      <c r="L71" s="11">
        <f t="shared" si="10"/>
        <v>10246.000398168426</v>
      </c>
    </row>
    <row r="72" spans="1:12" ht="12.75">
      <c r="A72" s="12"/>
      <c r="B72" s="12" t="s">
        <v>17</v>
      </c>
      <c r="C72" s="12" t="s">
        <v>18</v>
      </c>
      <c r="D72" s="13">
        <f>D73</f>
        <v>49419.79</v>
      </c>
      <c r="E72" s="13">
        <f>D72/7.5345</f>
        <v>6559.1333200610525</v>
      </c>
      <c r="F72" s="13">
        <v>70570</v>
      </c>
      <c r="G72" s="186">
        <v>6628.49</v>
      </c>
      <c r="H72" s="153"/>
      <c r="I72" s="86">
        <f t="shared" si="3"/>
        <v>9366.24858982016</v>
      </c>
      <c r="J72" s="13">
        <f t="shared" si="10"/>
        <v>10246.000398168426</v>
      </c>
      <c r="K72" s="13">
        <f t="shared" si="10"/>
        <v>10246.000398168426</v>
      </c>
      <c r="L72" s="13">
        <f t="shared" si="10"/>
        <v>10246.000398168426</v>
      </c>
    </row>
    <row r="73" spans="1:12" ht="12.75">
      <c r="A73" s="12"/>
      <c r="B73" s="14" t="s">
        <v>27</v>
      </c>
      <c r="C73" s="14" t="s">
        <v>28</v>
      </c>
      <c r="D73" s="15">
        <v>49419.79</v>
      </c>
      <c r="E73" s="15">
        <f>D73/7.5345</f>
        <v>6559.1333200610525</v>
      </c>
      <c r="F73" s="15">
        <v>67570</v>
      </c>
      <c r="G73" s="187">
        <v>8633.94</v>
      </c>
      <c r="H73" s="153"/>
      <c r="I73" s="85">
        <f t="shared" si="3"/>
        <v>8968.080164576282</v>
      </c>
      <c r="J73" s="15">
        <f>76203.94/7.5345</f>
        <v>10114.000929059659</v>
      </c>
      <c r="K73" s="15">
        <f>76203.94/7.5345</f>
        <v>10114.000929059659</v>
      </c>
      <c r="L73" s="15">
        <f>76203.94/7.5345</f>
        <v>10114.000929059659</v>
      </c>
    </row>
    <row r="74" spans="1:12" ht="12.75">
      <c r="A74" s="12"/>
      <c r="B74" s="14" t="s">
        <v>19</v>
      </c>
      <c r="C74" s="14" t="s">
        <v>20</v>
      </c>
      <c r="D74" s="15">
        <v>0</v>
      </c>
      <c r="E74" s="15">
        <v>0</v>
      </c>
      <c r="F74" s="15">
        <v>3000</v>
      </c>
      <c r="G74" s="187">
        <v>-2005.45</v>
      </c>
      <c r="H74" s="153"/>
      <c r="I74" s="85">
        <f t="shared" si="3"/>
        <v>398.1684252438781</v>
      </c>
      <c r="J74" s="15">
        <f>994.55/7.5345</f>
        <v>131.99946910876633</v>
      </c>
      <c r="K74" s="15">
        <f>994.55/7.5345</f>
        <v>131.99946910876633</v>
      </c>
      <c r="L74" s="15">
        <f>994.55/7.5345</f>
        <v>131.99946910876633</v>
      </c>
    </row>
    <row r="75" spans="1:12" ht="12.75">
      <c r="A75" s="9"/>
      <c r="B75" s="183" t="s">
        <v>31</v>
      </c>
      <c r="C75" s="153"/>
      <c r="D75" s="10"/>
      <c r="E75" s="10"/>
      <c r="F75" s="10"/>
      <c r="G75" s="184"/>
      <c r="H75" s="153"/>
      <c r="I75" s="85"/>
      <c r="J75" s="10"/>
      <c r="K75" s="10"/>
      <c r="L75" s="10"/>
    </row>
    <row r="76" spans="1:12" ht="12.75">
      <c r="A76" s="9" t="s">
        <v>42</v>
      </c>
      <c r="B76" s="183" t="s">
        <v>43</v>
      </c>
      <c r="C76" s="153"/>
      <c r="D76" s="11">
        <f>D77</f>
        <v>57880.2</v>
      </c>
      <c r="E76" s="11">
        <f>D76/7.5345</f>
        <v>7682.022695600238</v>
      </c>
      <c r="F76" s="11">
        <v>50000</v>
      </c>
      <c r="G76" s="185">
        <v>6.48</v>
      </c>
      <c r="H76" s="153"/>
      <c r="I76" s="85">
        <f t="shared" si="3"/>
        <v>6636.140420731303</v>
      </c>
      <c r="J76" s="11">
        <f>50006.48/7.5345</f>
        <v>6637.0004645298295</v>
      </c>
      <c r="K76" s="11">
        <f aca="true" t="shared" si="11" ref="K76:L78">50006.48/7.5345</f>
        <v>6637.0004645298295</v>
      </c>
      <c r="L76" s="11">
        <f t="shared" si="11"/>
        <v>6637.0004645298295</v>
      </c>
    </row>
    <row r="77" spans="1:12" ht="12.75">
      <c r="A77" s="12"/>
      <c r="B77" s="12" t="s">
        <v>17</v>
      </c>
      <c r="C77" s="12" t="s">
        <v>18</v>
      </c>
      <c r="D77" s="13">
        <f>D78</f>
        <v>57880.2</v>
      </c>
      <c r="E77" s="13">
        <f>D77/7.5345</f>
        <v>7682.022695600238</v>
      </c>
      <c r="F77" s="13">
        <v>50000</v>
      </c>
      <c r="G77" s="186">
        <v>6.48</v>
      </c>
      <c r="H77" s="153"/>
      <c r="I77" s="86">
        <f t="shared" si="3"/>
        <v>6636.140420731303</v>
      </c>
      <c r="J77" s="13">
        <f>50006.48/7.5345</f>
        <v>6637.0004645298295</v>
      </c>
      <c r="K77" s="13">
        <f t="shared" si="11"/>
        <v>6637.0004645298295</v>
      </c>
      <c r="L77" s="13">
        <f t="shared" si="11"/>
        <v>6637.0004645298295</v>
      </c>
    </row>
    <row r="78" spans="1:12" ht="12.75">
      <c r="A78" s="12"/>
      <c r="B78" s="14" t="s">
        <v>19</v>
      </c>
      <c r="C78" s="14" t="s">
        <v>20</v>
      </c>
      <c r="D78" s="15">
        <v>57880.2</v>
      </c>
      <c r="E78" s="15">
        <f>D78/7.5345</f>
        <v>7682.022695600238</v>
      </c>
      <c r="F78" s="15">
        <v>50000</v>
      </c>
      <c r="G78" s="187">
        <v>6.48</v>
      </c>
      <c r="H78" s="153"/>
      <c r="I78" s="85">
        <f t="shared" si="3"/>
        <v>6636.140420731303</v>
      </c>
      <c r="J78" s="15">
        <f>50006.48/7.5345</f>
        <v>6637.0004645298295</v>
      </c>
      <c r="K78" s="15">
        <f t="shared" si="11"/>
        <v>6637.0004645298295</v>
      </c>
      <c r="L78" s="15">
        <f t="shared" si="11"/>
        <v>6637.0004645298295</v>
      </c>
    </row>
    <row r="79" spans="1:12" ht="12.75">
      <c r="A79" s="9"/>
      <c r="B79" s="183" t="s">
        <v>14</v>
      </c>
      <c r="C79" s="153"/>
      <c r="D79" s="10"/>
      <c r="E79" s="10"/>
      <c r="F79" s="10"/>
      <c r="G79" s="184"/>
      <c r="H79" s="153"/>
      <c r="I79" s="85"/>
      <c r="J79" s="10"/>
      <c r="K79" s="10"/>
      <c r="L79" s="10"/>
    </row>
    <row r="80" spans="1:12" ht="12.75">
      <c r="A80" s="9" t="s">
        <v>44</v>
      </c>
      <c r="B80" s="183" t="s">
        <v>45</v>
      </c>
      <c r="C80" s="153"/>
      <c r="D80" s="11">
        <f>D81+D84</f>
        <v>143193.4</v>
      </c>
      <c r="E80" s="11">
        <f aca="true" t="shared" si="12" ref="E80:E85">D80/7.5345</f>
        <v>19005.030194438914</v>
      </c>
      <c r="F80" s="11">
        <v>110000</v>
      </c>
      <c r="G80" s="185">
        <v>-4592.35</v>
      </c>
      <c r="H80" s="153"/>
      <c r="I80" s="85">
        <f t="shared" si="3"/>
        <v>14599.508925608865</v>
      </c>
      <c r="J80" s="11">
        <f>105407.65/7.5345</f>
        <v>13989.999336385956</v>
      </c>
      <c r="K80" s="11">
        <f>105407.65/7.5345</f>
        <v>13989.999336385956</v>
      </c>
      <c r="L80" s="11">
        <f>105407.65/7.5345</f>
        <v>13989.999336385956</v>
      </c>
    </row>
    <row r="81" spans="1:12" ht="12.75">
      <c r="A81" s="12"/>
      <c r="B81" s="12" t="s">
        <v>17</v>
      </c>
      <c r="C81" s="12" t="s">
        <v>18</v>
      </c>
      <c r="D81" s="13">
        <f>D83+D82</f>
        <v>127900.1</v>
      </c>
      <c r="E81" s="13">
        <f t="shared" si="12"/>
        <v>16975.260468511515</v>
      </c>
      <c r="F81" s="13">
        <v>80000</v>
      </c>
      <c r="G81" s="186">
        <v>5509.04</v>
      </c>
      <c r="H81" s="153"/>
      <c r="I81" s="86">
        <f t="shared" si="3"/>
        <v>10617.824673170084</v>
      </c>
      <c r="J81" s="13">
        <f aca="true" t="shared" si="13" ref="J81:L82">85509.04/7.5345</f>
        <v>11348.999933638594</v>
      </c>
      <c r="K81" s="13">
        <f t="shared" si="13"/>
        <v>11348.999933638594</v>
      </c>
      <c r="L81" s="13">
        <f t="shared" si="13"/>
        <v>11348.999933638594</v>
      </c>
    </row>
    <row r="82" spans="1:12" ht="12.75">
      <c r="A82" s="12"/>
      <c r="B82" s="14" t="s">
        <v>19</v>
      </c>
      <c r="C82" s="14" t="s">
        <v>20</v>
      </c>
      <c r="D82" s="15">
        <v>127247.14</v>
      </c>
      <c r="E82" s="15">
        <f t="shared" si="12"/>
        <v>16888.597783529098</v>
      </c>
      <c r="F82" s="15">
        <v>80000</v>
      </c>
      <c r="G82" s="187">
        <v>5509.04</v>
      </c>
      <c r="H82" s="153"/>
      <c r="I82" s="85">
        <f t="shared" si="3"/>
        <v>10617.824673170084</v>
      </c>
      <c r="J82" s="15">
        <f t="shared" si="13"/>
        <v>11348.999933638594</v>
      </c>
      <c r="K82" s="15">
        <f t="shared" si="13"/>
        <v>11348.999933638594</v>
      </c>
      <c r="L82" s="15">
        <f t="shared" si="13"/>
        <v>11348.999933638594</v>
      </c>
    </row>
    <row r="83" spans="1:12" ht="12.75">
      <c r="A83" s="12"/>
      <c r="B83" s="14" t="s">
        <v>21</v>
      </c>
      <c r="C83" s="14" t="s">
        <v>22</v>
      </c>
      <c r="D83" s="15">
        <v>652.96</v>
      </c>
      <c r="E83" s="15">
        <f t="shared" si="12"/>
        <v>86.66268498241423</v>
      </c>
      <c r="F83" s="15">
        <v>0</v>
      </c>
      <c r="G83" s="187">
        <v>0</v>
      </c>
      <c r="H83" s="153"/>
      <c r="I83" s="85">
        <f t="shared" si="3"/>
        <v>0</v>
      </c>
      <c r="J83" s="15">
        <v>0</v>
      </c>
      <c r="K83" s="15">
        <v>0</v>
      </c>
      <c r="L83" s="15">
        <v>0</v>
      </c>
    </row>
    <row r="84" spans="1:12" ht="12.75">
      <c r="A84" s="12"/>
      <c r="B84" s="12" t="s">
        <v>34</v>
      </c>
      <c r="C84" s="12" t="s">
        <v>35</v>
      </c>
      <c r="D84" s="13">
        <v>15293.3</v>
      </c>
      <c r="E84" s="13">
        <f t="shared" si="12"/>
        <v>2029.7697259274005</v>
      </c>
      <c r="F84" s="13">
        <v>30000</v>
      </c>
      <c r="G84" s="186">
        <v>-10101.39</v>
      </c>
      <c r="H84" s="153"/>
      <c r="I84" s="86">
        <f t="shared" si="3"/>
        <v>3981.684252438781</v>
      </c>
      <c r="J84" s="13">
        <f aca="true" t="shared" si="14" ref="J84:L85">19898.61/7.5345</f>
        <v>2640.999402747362</v>
      </c>
      <c r="K84" s="13">
        <f t="shared" si="14"/>
        <v>2640.999402747362</v>
      </c>
      <c r="L84" s="13">
        <f t="shared" si="14"/>
        <v>2640.999402747362</v>
      </c>
    </row>
    <row r="85" spans="1:12" ht="22.5">
      <c r="A85" s="12"/>
      <c r="B85" s="14" t="s">
        <v>36</v>
      </c>
      <c r="C85" s="14" t="s">
        <v>37</v>
      </c>
      <c r="D85" s="15">
        <v>15293.3</v>
      </c>
      <c r="E85" s="15">
        <f t="shared" si="12"/>
        <v>2029.7697259274005</v>
      </c>
      <c r="F85" s="15">
        <v>30000</v>
      </c>
      <c r="G85" s="187">
        <v>-10101.39</v>
      </c>
      <c r="H85" s="153"/>
      <c r="I85" s="85">
        <f t="shared" si="3"/>
        <v>3981.684252438781</v>
      </c>
      <c r="J85" s="15">
        <f t="shared" si="14"/>
        <v>2640.999402747362</v>
      </c>
      <c r="K85" s="15">
        <f t="shared" si="14"/>
        <v>2640.999402747362</v>
      </c>
      <c r="L85" s="15">
        <f t="shared" si="14"/>
        <v>2640.999402747362</v>
      </c>
    </row>
    <row r="86" spans="1:12" ht="12.75">
      <c r="A86" s="9"/>
      <c r="B86" s="183" t="s">
        <v>31</v>
      </c>
      <c r="C86" s="153"/>
      <c r="D86" s="10"/>
      <c r="E86" s="10"/>
      <c r="F86" s="10"/>
      <c r="G86" s="184"/>
      <c r="H86" s="153"/>
      <c r="I86" s="85"/>
      <c r="J86" s="10"/>
      <c r="K86" s="10"/>
      <c r="L86" s="10"/>
    </row>
    <row r="87" spans="1:12" ht="12.75">
      <c r="A87" s="9" t="s">
        <v>46</v>
      </c>
      <c r="B87" s="183" t="s">
        <v>47</v>
      </c>
      <c r="C87" s="153"/>
      <c r="D87" s="11">
        <v>117926.14</v>
      </c>
      <c r="E87" s="11">
        <f aca="true" t="shared" si="15" ref="E87:E92">D87/7.5345</f>
        <v>15651.48848629637</v>
      </c>
      <c r="F87" s="11">
        <v>325683.76</v>
      </c>
      <c r="G87" s="185">
        <v>-123683.82</v>
      </c>
      <c r="H87" s="153"/>
      <c r="I87" s="85">
        <f t="shared" si="3"/>
        <v>43225.66328223505</v>
      </c>
      <c r="J87" s="11">
        <f>201999.94/7.5345</f>
        <v>26809.999336385958</v>
      </c>
      <c r="K87" s="11">
        <f>201999.94/7.5345</f>
        <v>26809.999336385958</v>
      </c>
      <c r="L87" s="11">
        <f>201999.94/7.5345</f>
        <v>26809.999336385958</v>
      </c>
    </row>
    <row r="88" spans="1:12" ht="12.75">
      <c r="A88" s="12"/>
      <c r="B88" s="12" t="s">
        <v>17</v>
      </c>
      <c r="C88" s="12" t="s">
        <v>18</v>
      </c>
      <c r="D88" s="13">
        <v>58311.73</v>
      </c>
      <c r="E88" s="13">
        <f t="shared" si="15"/>
        <v>7739.296569115402</v>
      </c>
      <c r="F88" s="13">
        <v>322683.76</v>
      </c>
      <c r="G88" s="186">
        <v>-122680.46</v>
      </c>
      <c r="H88" s="153"/>
      <c r="I88" s="85">
        <f t="shared" si="3"/>
        <v>42827.49485699117</v>
      </c>
      <c r="J88" s="13">
        <f aca="true" t="shared" si="16" ref="J88:L89">200003.3/7.5345</f>
        <v>26544.999668192977</v>
      </c>
      <c r="K88" s="13">
        <f t="shared" si="16"/>
        <v>26544.999668192977</v>
      </c>
      <c r="L88" s="13">
        <f t="shared" si="16"/>
        <v>26544.999668192977</v>
      </c>
    </row>
    <row r="89" spans="1:12" ht="12.75">
      <c r="A89" s="12"/>
      <c r="B89" s="14" t="s">
        <v>19</v>
      </c>
      <c r="C89" s="14" t="s">
        <v>20</v>
      </c>
      <c r="D89" s="15">
        <v>58291.69</v>
      </c>
      <c r="E89" s="15">
        <f t="shared" si="15"/>
        <v>7736.636804034773</v>
      </c>
      <c r="F89" s="15">
        <v>322683.76</v>
      </c>
      <c r="G89" s="187">
        <v>-122680.46</v>
      </c>
      <c r="H89" s="153"/>
      <c r="I89" s="85">
        <f t="shared" si="3"/>
        <v>42827.49485699117</v>
      </c>
      <c r="J89" s="15">
        <f t="shared" si="16"/>
        <v>26544.999668192977</v>
      </c>
      <c r="K89" s="15">
        <f t="shared" si="16"/>
        <v>26544.999668192977</v>
      </c>
      <c r="L89" s="15">
        <f t="shared" si="16"/>
        <v>26544.999668192977</v>
      </c>
    </row>
    <row r="90" spans="1:12" ht="12.75">
      <c r="A90" s="12"/>
      <c r="B90" s="14" t="s">
        <v>21</v>
      </c>
      <c r="C90" s="14" t="s">
        <v>22</v>
      </c>
      <c r="D90" s="15">
        <v>20.04</v>
      </c>
      <c r="E90" s="15">
        <f t="shared" si="15"/>
        <v>2.6597650806291058</v>
      </c>
      <c r="F90" s="15">
        <v>0</v>
      </c>
      <c r="G90" s="187">
        <v>0</v>
      </c>
      <c r="H90" s="153"/>
      <c r="I90" s="85">
        <f t="shared" si="3"/>
        <v>0</v>
      </c>
      <c r="J90" s="15">
        <v>0</v>
      </c>
      <c r="K90" s="15">
        <v>0</v>
      </c>
      <c r="L90" s="15">
        <v>0</v>
      </c>
    </row>
    <row r="91" spans="1:12" ht="12.75">
      <c r="A91" s="12"/>
      <c r="B91" s="12" t="s">
        <v>34</v>
      </c>
      <c r="C91" s="12" t="s">
        <v>35</v>
      </c>
      <c r="D91" s="13">
        <v>59614.41</v>
      </c>
      <c r="E91" s="13">
        <f t="shared" si="15"/>
        <v>7912.191917180968</v>
      </c>
      <c r="F91" s="13">
        <v>3000</v>
      </c>
      <c r="G91" s="186">
        <v>-1003.36</v>
      </c>
      <c r="H91" s="153"/>
      <c r="I91" s="85">
        <f t="shared" si="3"/>
        <v>398.1684252438781</v>
      </c>
      <c r="J91" s="13">
        <f aca="true" t="shared" si="17" ref="J91:L92">1996.64/7.5345</f>
        <v>264.99966819297896</v>
      </c>
      <c r="K91" s="13">
        <f t="shared" si="17"/>
        <v>264.99966819297896</v>
      </c>
      <c r="L91" s="13">
        <f t="shared" si="17"/>
        <v>264.99966819297896</v>
      </c>
    </row>
    <row r="92" spans="1:12" ht="22.5">
      <c r="A92" s="12"/>
      <c r="B92" s="14" t="s">
        <v>36</v>
      </c>
      <c r="C92" s="14" t="s">
        <v>37</v>
      </c>
      <c r="D92" s="15">
        <v>59614.41</v>
      </c>
      <c r="E92" s="15">
        <f t="shared" si="15"/>
        <v>7912.191917180968</v>
      </c>
      <c r="F92" s="15">
        <v>3000</v>
      </c>
      <c r="G92" s="187">
        <v>-1003.36</v>
      </c>
      <c r="H92" s="153"/>
      <c r="I92" s="85">
        <f t="shared" si="3"/>
        <v>398.1684252438781</v>
      </c>
      <c r="J92" s="15">
        <f t="shared" si="17"/>
        <v>264.99966819297896</v>
      </c>
      <c r="K92" s="15">
        <f t="shared" si="17"/>
        <v>264.99966819297896</v>
      </c>
      <c r="L92" s="15">
        <f t="shared" si="17"/>
        <v>264.99966819297896</v>
      </c>
    </row>
    <row r="93" spans="1:12" ht="12.75">
      <c r="A93" s="9"/>
      <c r="B93" s="183" t="s">
        <v>31</v>
      </c>
      <c r="C93" s="153"/>
      <c r="D93" s="10"/>
      <c r="E93" s="10"/>
      <c r="F93" s="10"/>
      <c r="G93" s="184"/>
      <c r="H93" s="153"/>
      <c r="I93" s="85"/>
      <c r="J93" s="10"/>
      <c r="K93" s="10"/>
      <c r="L93" s="10"/>
    </row>
    <row r="94" spans="1:12" ht="12.75">
      <c r="A94" s="9" t="s">
        <v>48</v>
      </c>
      <c r="B94" s="183" t="s">
        <v>49</v>
      </c>
      <c r="C94" s="153"/>
      <c r="D94" s="11">
        <f>D95</f>
        <v>28076.03</v>
      </c>
      <c r="E94" s="11">
        <f>D94/7.5345</f>
        <v>3726.329550733293</v>
      </c>
      <c r="F94" s="11">
        <v>33844.89</v>
      </c>
      <c r="G94" s="185">
        <v>-6343.96</v>
      </c>
      <c r="H94" s="153"/>
      <c r="I94" s="85">
        <f t="shared" si="3"/>
        <v>4491.988851284093</v>
      </c>
      <c r="J94" s="11">
        <f>27500.93/7.5345</f>
        <v>3650.000663614042</v>
      </c>
      <c r="K94" s="11">
        <f>27500.93/7.5345</f>
        <v>3650.000663614042</v>
      </c>
      <c r="L94" s="11">
        <f>27500.93/7.5345</f>
        <v>3650.000663614042</v>
      </c>
    </row>
    <row r="95" spans="1:12" ht="12.75">
      <c r="A95" s="12"/>
      <c r="B95" s="12" t="s">
        <v>17</v>
      </c>
      <c r="C95" s="12" t="s">
        <v>18</v>
      </c>
      <c r="D95" s="13">
        <f>D96</f>
        <v>28076.03</v>
      </c>
      <c r="E95" s="13">
        <f>D95/7.5345</f>
        <v>3726.329550733293</v>
      </c>
      <c r="F95" s="13">
        <v>31844.89</v>
      </c>
      <c r="G95" s="186">
        <v>-6830.35</v>
      </c>
      <c r="H95" s="153"/>
      <c r="I95" s="85">
        <f t="shared" si="3"/>
        <v>4226.543234454841</v>
      </c>
      <c r="J95" s="13">
        <f aca="true" t="shared" si="18" ref="J95:L96">25014.54/7.5345</f>
        <v>3320</v>
      </c>
      <c r="K95" s="13">
        <f t="shared" si="18"/>
        <v>3320</v>
      </c>
      <c r="L95" s="13">
        <f t="shared" si="18"/>
        <v>3320</v>
      </c>
    </row>
    <row r="96" spans="1:12" ht="12.75">
      <c r="A96" s="12"/>
      <c r="B96" s="14" t="s">
        <v>19</v>
      </c>
      <c r="C96" s="14" t="s">
        <v>20</v>
      </c>
      <c r="D96" s="15">
        <v>28076.03</v>
      </c>
      <c r="E96" s="15">
        <f>D96/7.5345</f>
        <v>3726.329550733293</v>
      </c>
      <c r="F96" s="15">
        <v>31844.89</v>
      </c>
      <c r="G96" s="187">
        <v>-6830.35</v>
      </c>
      <c r="H96" s="153"/>
      <c r="I96" s="85">
        <f t="shared" si="3"/>
        <v>4226.543234454841</v>
      </c>
      <c r="J96" s="15">
        <f t="shared" si="18"/>
        <v>3320</v>
      </c>
      <c r="K96" s="15">
        <f t="shared" si="18"/>
        <v>3320</v>
      </c>
      <c r="L96" s="15">
        <f t="shared" si="18"/>
        <v>3320</v>
      </c>
    </row>
    <row r="97" spans="1:12" ht="12.75">
      <c r="A97" s="12"/>
      <c r="B97" s="12" t="s">
        <v>34</v>
      </c>
      <c r="C97" s="12" t="s">
        <v>35</v>
      </c>
      <c r="D97" s="13">
        <v>0</v>
      </c>
      <c r="E97" s="13">
        <v>0</v>
      </c>
      <c r="F97" s="13">
        <v>2000</v>
      </c>
      <c r="G97" s="186">
        <v>486.39</v>
      </c>
      <c r="H97" s="153"/>
      <c r="I97" s="85">
        <f t="shared" si="3"/>
        <v>265.4456168292521</v>
      </c>
      <c r="J97" s="13">
        <f aca="true" t="shared" si="19" ref="J97:L98">2486.39/7.5345</f>
        <v>330.000663614042</v>
      </c>
      <c r="K97" s="13">
        <f t="shared" si="19"/>
        <v>330.000663614042</v>
      </c>
      <c r="L97" s="13">
        <f t="shared" si="19"/>
        <v>330.000663614042</v>
      </c>
    </row>
    <row r="98" spans="1:12" ht="22.5">
      <c r="A98" s="12"/>
      <c r="B98" s="14" t="s">
        <v>36</v>
      </c>
      <c r="C98" s="14" t="s">
        <v>37</v>
      </c>
      <c r="D98" s="15">
        <v>0</v>
      </c>
      <c r="E98" s="15">
        <v>0</v>
      </c>
      <c r="F98" s="15">
        <v>2000</v>
      </c>
      <c r="G98" s="187">
        <v>486.39</v>
      </c>
      <c r="H98" s="153"/>
      <c r="I98" s="85">
        <f t="shared" si="3"/>
        <v>265.4456168292521</v>
      </c>
      <c r="J98" s="15">
        <f t="shared" si="19"/>
        <v>330.000663614042</v>
      </c>
      <c r="K98" s="15">
        <f t="shared" si="19"/>
        <v>330.000663614042</v>
      </c>
      <c r="L98" s="15">
        <f t="shared" si="19"/>
        <v>330.000663614042</v>
      </c>
    </row>
    <row r="99" spans="1:12" ht="12.75">
      <c r="A99" s="9"/>
      <c r="B99" s="183" t="s">
        <v>31</v>
      </c>
      <c r="C99" s="153"/>
      <c r="D99" s="10"/>
      <c r="E99" s="10"/>
      <c r="F99" s="10"/>
      <c r="G99" s="184"/>
      <c r="H99" s="153"/>
      <c r="I99" s="85"/>
      <c r="J99" s="10"/>
      <c r="K99" s="10"/>
      <c r="L99" s="10"/>
    </row>
    <row r="100" spans="1:12" ht="12.75">
      <c r="A100" s="9" t="s">
        <v>50</v>
      </c>
      <c r="B100" s="183" t="s">
        <v>51</v>
      </c>
      <c r="C100" s="153"/>
      <c r="D100" s="11">
        <v>100</v>
      </c>
      <c r="E100" s="11">
        <f>D100/7.5345</f>
        <v>13.272280841462605</v>
      </c>
      <c r="F100" s="11">
        <v>400</v>
      </c>
      <c r="G100" s="185">
        <v>202.76</v>
      </c>
      <c r="H100" s="153"/>
      <c r="I100" s="85">
        <f t="shared" si="3"/>
        <v>53.08912336585042</v>
      </c>
      <c r="J100" s="11">
        <f>602.76/7.5345</f>
        <v>80</v>
      </c>
      <c r="K100" s="11">
        <f aca="true" t="shared" si="20" ref="K100:L102">602.76/7.5345</f>
        <v>80</v>
      </c>
      <c r="L100" s="11">
        <f t="shared" si="20"/>
        <v>80</v>
      </c>
    </row>
    <row r="101" spans="1:12" ht="12.75">
      <c r="A101" s="12"/>
      <c r="B101" s="12" t="s">
        <v>17</v>
      </c>
      <c r="C101" s="12" t="s">
        <v>18</v>
      </c>
      <c r="D101" s="13">
        <v>100</v>
      </c>
      <c r="E101" s="13">
        <f>D101/7.5345</f>
        <v>13.272280841462605</v>
      </c>
      <c r="F101" s="13">
        <v>400</v>
      </c>
      <c r="G101" s="186">
        <v>202.76</v>
      </c>
      <c r="H101" s="153"/>
      <c r="I101" s="85">
        <f t="shared" si="3"/>
        <v>53.08912336585042</v>
      </c>
      <c r="J101" s="13">
        <f>602.76/7.5345</f>
        <v>80</v>
      </c>
      <c r="K101" s="13">
        <f t="shared" si="20"/>
        <v>80</v>
      </c>
      <c r="L101" s="13">
        <f t="shared" si="20"/>
        <v>80</v>
      </c>
    </row>
    <row r="102" spans="1:12" ht="12.75">
      <c r="A102" s="12"/>
      <c r="B102" s="14" t="s">
        <v>19</v>
      </c>
      <c r="C102" s="14" t="s">
        <v>20</v>
      </c>
      <c r="D102" s="15">
        <v>100</v>
      </c>
      <c r="E102" s="15">
        <f>D102/7.5345</f>
        <v>13.272280841462605</v>
      </c>
      <c r="F102" s="15">
        <v>400</v>
      </c>
      <c r="G102" s="187">
        <v>202.76</v>
      </c>
      <c r="H102" s="153"/>
      <c r="I102" s="85">
        <f t="shared" si="3"/>
        <v>53.08912336585042</v>
      </c>
      <c r="J102" s="15">
        <f>602.76/7.5345</f>
        <v>80</v>
      </c>
      <c r="K102" s="15">
        <f t="shared" si="20"/>
        <v>80</v>
      </c>
      <c r="L102" s="15">
        <f t="shared" si="20"/>
        <v>80</v>
      </c>
    </row>
    <row r="103" spans="1:12" ht="12.75">
      <c r="A103" s="9"/>
      <c r="B103" s="183" t="s">
        <v>52</v>
      </c>
      <c r="C103" s="153"/>
      <c r="D103" s="10"/>
      <c r="E103" s="10"/>
      <c r="F103" s="10"/>
      <c r="G103" s="184"/>
      <c r="H103" s="153"/>
      <c r="I103" s="85"/>
      <c r="J103" s="10"/>
      <c r="K103" s="10"/>
      <c r="L103" s="10"/>
    </row>
    <row r="104" spans="1:12" ht="12.75">
      <c r="A104" s="9" t="s">
        <v>53</v>
      </c>
      <c r="B104" s="183" t="s">
        <v>54</v>
      </c>
      <c r="C104" s="153"/>
      <c r="D104" s="11">
        <v>10000</v>
      </c>
      <c r="E104" s="11">
        <f>D104/7.5345</f>
        <v>1327.2280841462605</v>
      </c>
      <c r="F104" s="11">
        <v>10000</v>
      </c>
      <c r="G104" s="185">
        <v>-1.72</v>
      </c>
      <c r="H104" s="153"/>
      <c r="I104" s="85">
        <f t="shared" si="3"/>
        <v>1327.2280841462605</v>
      </c>
      <c r="J104" s="11">
        <f>9998.28/7.5345</f>
        <v>1326.9998009157873</v>
      </c>
      <c r="K104" s="11">
        <f aca="true" t="shared" si="21" ref="K104:L106">9998.28/7.5345</f>
        <v>1326.9998009157873</v>
      </c>
      <c r="L104" s="11">
        <f t="shared" si="21"/>
        <v>1326.9998009157873</v>
      </c>
    </row>
    <row r="105" spans="1:12" ht="12.75">
      <c r="A105" s="12"/>
      <c r="B105" s="12" t="s">
        <v>17</v>
      </c>
      <c r="C105" s="12" t="s">
        <v>18</v>
      </c>
      <c r="D105" s="13">
        <v>10000</v>
      </c>
      <c r="E105" s="13">
        <f>D105/7.5345</f>
        <v>1327.2280841462605</v>
      </c>
      <c r="F105" s="13">
        <v>10000</v>
      </c>
      <c r="G105" s="186">
        <v>-1.72</v>
      </c>
      <c r="H105" s="153"/>
      <c r="I105" s="85">
        <f t="shared" si="3"/>
        <v>1327.2280841462605</v>
      </c>
      <c r="J105" s="13">
        <f>9998.28/7.5345</f>
        <v>1326.9998009157873</v>
      </c>
      <c r="K105" s="13">
        <f t="shared" si="21"/>
        <v>1326.9998009157873</v>
      </c>
      <c r="L105" s="13">
        <f t="shared" si="21"/>
        <v>1326.9998009157873</v>
      </c>
    </row>
    <row r="106" spans="1:12" ht="12.75">
      <c r="A106" s="12"/>
      <c r="B106" s="14" t="s">
        <v>19</v>
      </c>
      <c r="C106" s="14" t="s">
        <v>20</v>
      </c>
      <c r="D106" s="15">
        <v>10000</v>
      </c>
      <c r="E106" s="15">
        <f>D106/7.5345</f>
        <v>1327.2280841462605</v>
      </c>
      <c r="F106" s="15">
        <v>10000</v>
      </c>
      <c r="G106" s="187">
        <v>-1.72</v>
      </c>
      <c r="H106" s="153"/>
      <c r="I106" s="85">
        <f t="shared" si="3"/>
        <v>1327.2280841462605</v>
      </c>
      <c r="J106" s="15">
        <f>9998.28/7.5345</f>
        <v>1326.9998009157873</v>
      </c>
      <c r="K106" s="15">
        <f t="shared" si="21"/>
        <v>1326.9998009157873</v>
      </c>
      <c r="L106" s="15">
        <f t="shared" si="21"/>
        <v>1326.9998009157873</v>
      </c>
    </row>
    <row r="107" spans="1:12" ht="12.75">
      <c r="A107" s="63" t="s">
        <v>55</v>
      </c>
      <c r="B107" s="177" t="s">
        <v>56</v>
      </c>
      <c r="C107" s="178"/>
      <c r="D107" s="64">
        <f>D110+D114</f>
        <v>298391.38</v>
      </c>
      <c r="E107" s="64">
        <f>D107/7.5345</f>
        <v>39603.341960315876</v>
      </c>
      <c r="F107" s="64">
        <v>57575</v>
      </c>
      <c r="G107" s="179">
        <v>-57575</v>
      </c>
      <c r="H107" s="178"/>
      <c r="I107" s="87">
        <f t="shared" si="3"/>
        <v>7641.515694472095</v>
      </c>
      <c r="J107" s="64">
        <v>0</v>
      </c>
      <c r="K107" s="64">
        <v>0</v>
      </c>
      <c r="L107" s="64">
        <v>0</v>
      </c>
    </row>
    <row r="108" spans="1:12" ht="12.75">
      <c r="A108" s="7"/>
      <c r="B108" s="180"/>
      <c r="C108" s="181"/>
      <c r="D108" s="8"/>
      <c r="E108" s="8"/>
      <c r="F108" s="8"/>
      <c r="G108" s="182"/>
      <c r="H108" s="181"/>
      <c r="I108" s="85"/>
      <c r="J108" s="8"/>
      <c r="K108" s="8"/>
      <c r="L108" s="8"/>
    </row>
    <row r="109" spans="1:12" ht="12.75">
      <c r="A109" s="9"/>
      <c r="B109" s="183" t="s">
        <v>14</v>
      </c>
      <c r="C109" s="153"/>
      <c r="D109" s="10"/>
      <c r="E109" s="10"/>
      <c r="F109" s="10"/>
      <c r="G109" s="184"/>
      <c r="H109" s="153"/>
      <c r="I109" s="85"/>
      <c r="J109" s="10"/>
      <c r="K109" s="10"/>
      <c r="L109" s="10"/>
    </row>
    <row r="110" spans="1:12" ht="12.75">
      <c r="A110" s="9" t="s">
        <v>57</v>
      </c>
      <c r="B110" s="183" t="s">
        <v>58</v>
      </c>
      <c r="C110" s="153"/>
      <c r="D110" s="11">
        <v>80409.13</v>
      </c>
      <c r="E110" s="11">
        <f>D110/7.5345</f>
        <v>10672.12555577676</v>
      </c>
      <c r="F110" s="11">
        <v>57575</v>
      </c>
      <c r="G110" s="185">
        <v>-57575</v>
      </c>
      <c r="H110" s="153"/>
      <c r="I110" s="85">
        <f aca="true" t="shared" si="22" ref="I110:I153">F110/7.5345</f>
        <v>7641.515694472095</v>
      </c>
      <c r="J110" s="11">
        <v>0</v>
      </c>
      <c r="K110" s="11">
        <v>0</v>
      </c>
      <c r="L110" s="11">
        <v>0</v>
      </c>
    </row>
    <row r="111" spans="1:12" ht="12.75">
      <c r="A111" s="12"/>
      <c r="B111" s="12" t="s">
        <v>17</v>
      </c>
      <c r="C111" s="12" t="s">
        <v>18</v>
      </c>
      <c r="D111" s="13">
        <v>80409.13</v>
      </c>
      <c r="E111" s="13">
        <f>D111/7.5345</f>
        <v>10672.12555577676</v>
      </c>
      <c r="F111" s="13">
        <v>57575</v>
      </c>
      <c r="G111" s="186">
        <v>-57575</v>
      </c>
      <c r="H111" s="153"/>
      <c r="I111" s="85">
        <f t="shared" si="22"/>
        <v>7641.515694472095</v>
      </c>
      <c r="J111" s="13">
        <v>0</v>
      </c>
      <c r="K111" s="13">
        <v>0</v>
      </c>
      <c r="L111" s="13">
        <v>0</v>
      </c>
    </row>
    <row r="112" spans="1:12" ht="12.75">
      <c r="A112" s="12"/>
      <c r="B112" s="14" t="s">
        <v>19</v>
      </c>
      <c r="C112" s="14" t="s">
        <v>20</v>
      </c>
      <c r="D112" s="15">
        <v>80409.13</v>
      </c>
      <c r="E112" s="15">
        <f>D112/7.5345</f>
        <v>10672.12555577676</v>
      </c>
      <c r="F112" s="15">
        <v>57575</v>
      </c>
      <c r="G112" s="187">
        <v>-57575</v>
      </c>
      <c r="H112" s="153"/>
      <c r="I112" s="85">
        <f t="shared" si="22"/>
        <v>7641.515694472095</v>
      </c>
      <c r="J112" s="15">
        <v>0</v>
      </c>
      <c r="K112" s="15">
        <v>0</v>
      </c>
      <c r="L112" s="15">
        <v>0</v>
      </c>
    </row>
    <row r="113" spans="1:12" ht="12.75">
      <c r="A113" s="9"/>
      <c r="B113" s="183" t="s">
        <v>14</v>
      </c>
      <c r="C113" s="153"/>
      <c r="D113" s="10"/>
      <c r="E113" s="10"/>
      <c r="F113" s="10"/>
      <c r="G113" s="184"/>
      <c r="H113" s="153"/>
      <c r="I113" s="85"/>
      <c r="J113" s="10"/>
      <c r="K113" s="10"/>
      <c r="L113" s="10"/>
    </row>
    <row r="114" spans="1:12" ht="12.75">
      <c r="A114" s="9" t="s">
        <v>59</v>
      </c>
      <c r="B114" s="183" t="s">
        <v>60</v>
      </c>
      <c r="C114" s="153"/>
      <c r="D114" s="11">
        <v>217982.25</v>
      </c>
      <c r="E114" s="11">
        <f>D114/7.5345</f>
        <v>28931.21640453912</v>
      </c>
      <c r="F114" s="11">
        <v>0</v>
      </c>
      <c r="G114" s="185">
        <v>0</v>
      </c>
      <c r="H114" s="153"/>
      <c r="I114" s="85">
        <f t="shared" si="22"/>
        <v>0</v>
      </c>
      <c r="J114" s="11">
        <v>0</v>
      </c>
      <c r="K114" s="11">
        <v>0</v>
      </c>
      <c r="L114" s="11">
        <v>0</v>
      </c>
    </row>
    <row r="115" spans="1:12" ht="12.75">
      <c r="A115" s="12"/>
      <c r="B115" s="12" t="s">
        <v>17</v>
      </c>
      <c r="C115" s="12" t="s">
        <v>18</v>
      </c>
      <c r="D115" s="13">
        <v>217982.25</v>
      </c>
      <c r="E115" s="13">
        <f>D115*7.5345</f>
        <v>1642387.2626250002</v>
      </c>
      <c r="F115" s="13">
        <v>0</v>
      </c>
      <c r="G115" s="186">
        <v>0</v>
      </c>
      <c r="H115" s="153"/>
      <c r="I115" s="85">
        <f t="shared" si="22"/>
        <v>0</v>
      </c>
      <c r="J115" s="13">
        <v>0</v>
      </c>
      <c r="K115" s="13">
        <v>0</v>
      </c>
      <c r="L115" s="13">
        <v>0</v>
      </c>
    </row>
    <row r="116" spans="1:12" ht="12.75">
      <c r="A116" s="12"/>
      <c r="B116" s="14" t="s">
        <v>19</v>
      </c>
      <c r="C116" s="14" t="s">
        <v>20</v>
      </c>
      <c r="D116" s="15">
        <v>217982.25</v>
      </c>
      <c r="E116" s="15">
        <f>D116/7.5345</f>
        <v>28931.21640453912</v>
      </c>
      <c r="F116" s="15">
        <v>0</v>
      </c>
      <c r="G116" s="187">
        <v>0</v>
      </c>
      <c r="H116" s="153"/>
      <c r="I116" s="85">
        <f t="shared" si="22"/>
        <v>0</v>
      </c>
      <c r="J116" s="15">
        <v>0</v>
      </c>
      <c r="K116" s="15">
        <v>0</v>
      </c>
      <c r="L116" s="15">
        <v>0</v>
      </c>
    </row>
    <row r="117" spans="1:12" ht="12.75">
      <c r="A117" s="63" t="s">
        <v>61</v>
      </c>
      <c r="B117" s="177" t="s">
        <v>62</v>
      </c>
      <c r="C117" s="178"/>
      <c r="D117" s="64">
        <v>0</v>
      </c>
      <c r="E117" s="64">
        <v>0</v>
      </c>
      <c r="F117" s="64">
        <v>37500</v>
      </c>
      <c r="G117" s="179">
        <v>-37500</v>
      </c>
      <c r="H117" s="178"/>
      <c r="I117" s="87">
        <f t="shared" si="22"/>
        <v>4977.105315548477</v>
      </c>
      <c r="J117" s="64">
        <v>0</v>
      </c>
      <c r="K117" s="64">
        <v>0</v>
      </c>
      <c r="L117" s="64">
        <v>0</v>
      </c>
    </row>
    <row r="118" spans="1:12" ht="12.75">
      <c r="A118" s="7"/>
      <c r="B118" s="180"/>
      <c r="C118" s="181"/>
      <c r="D118" s="8"/>
      <c r="E118" s="8"/>
      <c r="F118" s="8"/>
      <c r="G118" s="182"/>
      <c r="H118" s="181"/>
      <c r="I118" s="85"/>
      <c r="J118" s="8"/>
      <c r="K118" s="8"/>
      <c r="L118" s="8"/>
    </row>
    <row r="119" spans="1:12" ht="12.75">
      <c r="A119" s="9"/>
      <c r="B119" s="183" t="s">
        <v>14</v>
      </c>
      <c r="C119" s="153"/>
      <c r="D119" s="10"/>
      <c r="E119" s="10"/>
      <c r="F119" s="10"/>
      <c r="G119" s="184"/>
      <c r="H119" s="153"/>
      <c r="I119" s="85"/>
      <c r="J119" s="10"/>
      <c r="K119" s="10"/>
      <c r="L119" s="10"/>
    </row>
    <row r="120" spans="1:12" ht="12.75">
      <c r="A120" s="9" t="s">
        <v>63</v>
      </c>
      <c r="B120" s="183" t="s">
        <v>64</v>
      </c>
      <c r="C120" s="153"/>
      <c r="D120" s="11">
        <v>0</v>
      </c>
      <c r="E120" s="11">
        <v>0</v>
      </c>
      <c r="F120" s="11">
        <v>37500</v>
      </c>
      <c r="G120" s="185">
        <v>-37500</v>
      </c>
      <c r="H120" s="153"/>
      <c r="I120" s="85">
        <f t="shared" si="22"/>
        <v>4977.105315548477</v>
      </c>
      <c r="J120" s="11">
        <v>0</v>
      </c>
      <c r="K120" s="11">
        <v>0</v>
      </c>
      <c r="L120" s="11">
        <v>0</v>
      </c>
    </row>
    <row r="121" spans="1:12" ht="12.75">
      <c r="A121" s="12"/>
      <c r="B121" s="12" t="s">
        <v>34</v>
      </c>
      <c r="C121" s="12" t="s">
        <v>35</v>
      </c>
      <c r="D121" s="13">
        <v>0</v>
      </c>
      <c r="E121" s="13">
        <v>0</v>
      </c>
      <c r="F121" s="13">
        <v>37500</v>
      </c>
      <c r="G121" s="186">
        <v>-37500</v>
      </c>
      <c r="H121" s="153"/>
      <c r="I121" s="85">
        <f t="shared" si="22"/>
        <v>4977.105315548477</v>
      </c>
      <c r="J121" s="13">
        <v>0</v>
      </c>
      <c r="K121" s="13">
        <v>0</v>
      </c>
      <c r="L121" s="13">
        <v>0</v>
      </c>
    </row>
    <row r="122" spans="1:12" ht="22.5">
      <c r="A122" s="12"/>
      <c r="B122" s="14" t="s">
        <v>65</v>
      </c>
      <c r="C122" s="14" t="s">
        <v>66</v>
      </c>
      <c r="D122" s="15">
        <v>0</v>
      </c>
      <c r="E122" s="15">
        <v>0</v>
      </c>
      <c r="F122" s="15">
        <v>37500</v>
      </c>
      <c r="G122" s="187">
        <v>-37500</v>
      </c>
      <c r="H122" s="153"/>
      <c r="I122" s="85">
        <f t="shared" si="22"/>
        <v>4977.105315548477</v>
      </c>
      <c r="J122" s="15">
        <v>0</v>
      </c>
      <c r="K122" s="15">
        <v>0</v>
      </c>
      <c r="L122" s="15">
        <v>0</v>
      </c>
    </row>
    <row r="123" spans="1:12" ht="12.75">
      <c r="A123" s="63" t="s">
        <v>67</v>
      </c>
      <c r="B123" s="177" t="s">
        <v>68</v>
      </c>
      <c r="C123" s="178"/>
      <c r="D123" s="64">
        <f>D126+D130+D134</f>
        <v>19164.93</v>
      </c>
      <c r="E123" s="64">
        <f>D123/7.5345</f>
        <v>2543.6233326697193</v>
      </c>
      <c r="F123" s="64">
        <v>7000</v>
      </c>
      <c r="G123" s="179">
        <v>7.08</v>
      </c>
      <c r="H123" s="178"/>
      <c r="I123" s="87">
        <f t="shared" si="22"/>
        <v>929.0596589023824</v>
      </c>
      <c r="J123" s="64">
        <f>7007.08/7.5345</f>
        <v>929.9993363859579</v>
      </c>
      <c r="K123" s="65">
        <f>7007.08/7.5345</f>
        <v>929.9993363859579</v>
      </c>
      <c r="L123" s="65">
        <f>7007.08/7.5345</f>
        <v>929.9993363859579</v>
      </c>
    </row>
    <row r="124" spans="1:12" ht="12.75">
      <c r="A124" s="7"/>
      <c r="B124" s="180"/>
      <c r="C124" s="181"/>
      <c r="D124" s="8"/>
      <c r="E124" s="8"/>
      <c r="F124" s="8"/>
      <c r="G124" s="182"/>
      <c r="H124" s="181"/>
      <c r="I124" s="85"/>
      <c r="J124" s="8"/>
      <c r="K124" s="8"/>
      <c r="L124" s="8"/>
    </row>
    <row r="125" spans="1:12" ht="12.75">
      <c r="A125" s="9"/>
      <c r="B125" s="183" t="s">
        <v>14</v>
      </c>
      <c r="C125" s="153"/>
      <c r="D125" s="10"/>
      <c r="E125" s="10"/>
      <c r="F125" s="10"/>
      <c r="G125" s="184"/>
      <c r="H125" s="153"/>
      <c r="I125" s="85"/>
      <c r="J125" s="10"/>
      <c r="K125" s="10"/>
      <c r="L125" s="10"/>
    </row>
    <row r="126" spans="1:12" ht="12.75">
      <c r="A126" s="9" t="s">
        <v>69</v>
      </c>
      <c r="B126" s="183" t="s">
        <v>70</v>
      </c>
      <c r="C126" s="153"/>
      <c r="D126" s="11">
        <v>11552.5</v>
      </c>
      <c r="E126" s="11">
        <f>D126/7.5345</f>
        <v>1533.2802442099673</v>
      </c>
      <c r="F126" s="11">
        <v>0</v>
      </c>
      <c r="G126" s="185">
        <v>0</v>
      </c>
      <c r="H126" s="153"/>
      <c r="I126" s="85">
        <f t="shared" si="22"/>
        <v>0</v>
      </c>
      <c r="J126" s="11">
        <v>0</v>
      </c>
      <c r="K126" s="11">
        <v>0</v>
      </c>
      <c r="L126" s="11">
        <v>0</v>
      </c>
    </row>
    <row r="127" spans="1:12" ht="12.75">
      <c r="A127" s="12"/>
      <c r="B127" s="12" t="s">
        <v>34</v>
      </c>
      <c r="C127" s="12" t="s">
        <v>35</v>
      </c>
      <c r="D127" s="13">
        <v>11552.5</v>
      </c>
      <c r="E127" s="13">
        <f>D127/7.5345</f>
        <v>1533.2802442099673</v>
      </c>
      <c r="F127" s="13">
        <v>0</v>
      </c>
      <c r="G127" s="186">
        <v>0</v>
      </c>
      <c r="H127" s="153"/>
      <c r="I127" s="85">
        <f t="shared" si="22"/>
        <v>0</v>
      </c>
      <c r="J127" s="13">
        <v>0</v>
      </c>
      <c r="K127" s="13">
        <v>0</v>
      </c>
      <c r="L127" s="13">
        <v>0</v>
      </c>
    </row>
    <row r="128" spans="1:12" ht="22.5">
      <c r="A128" s="12"/>
      <c r="B128" s="14" t="s">
        <v>36</v>
      </c>
      <c r="C128" s="14" t="s">
        <v>37</v>
      </c>
      <c r="D128" s="15">
        <v>11552.5</v>
      </c>
      <c r="E128" s="15">
        <f>D128/7.5345</f>
        <v>1533.2802442099673</v>
      </c>
      <c r="F128" s="15">
        <v>0</v>
      </c>
      <c r="G128" s="187">
        <v>0</v>
      </c>
      <c r="H128" s="153"/>
      <c r="I128" s="85">
        <f t="shared" si="22"/>
        <v>0</v>
      </c>
      <c r="J128" s="15">
        <v>0</v>
      </c>
      <c r="K128" s="15">
        <v>0</v>
      </c>
      <c r="L128" s="15">
        <v>0</v>
      </c>
    </row>
    <row r="129" spans="1:12" ht="12.75">
      <c r="A129" s="9"/>
      <c r="B129" s="183" t="s">
        <v>14</v>
      </c>
      <c r="C129" s="153"/>
      <c r="D129" s="10"/>
      <c r="E129" s="10"/>
      <c r="F129" s="10"/>
      <c r="G129" s="184"/>
      <c r="H129" s="153"/>
      <c r="I129" s="85">
        <f t="shared" si="22"/>
        <v>0</v>
      </c>
      <c r="J129" s="10"/>
      <c r="K129" s="10"/>
      <c r="L129" s="10"/>
    </row>
    <row r="130" spans="1:12" ht="12.75">
      <c r="A130" s="9" t="s">
        <v>71</v>
      </c>
      <c r="B130" s="183" t="s">
        <v>72</v>
      </c>
      <c r="C130" s="153"/>
      <c r="D130" s="11">
        <v>3000</v>
      </c>
      <c r="E130" s="11">
        <f>D130/7.5345</f>
        <v>398.1684252438781</v>
      </c>
      <c r="F130" s="11">
        <v>0</v>
      </c>
      <c r="G130" s="185">
        <v>0</v>
      </c>
      <c r="H130" s="153"/>
      <c r="I130" s="85">
        <f t="shared" si="22"/>
        <v>0</v>
      </c>
      <c r="J130" s="11">
        <v>0</v>
      </c>
      <c r="K130" s="11">
        <v>0</v>
      </c>
      <c r="L130" s="11">
        <v>0</v>
      </c>
    </row>
    <row r="131" spans="1:12" ht="12.75">
      <c r="A131" s="12"/>
      <c r="B131" s="12" t="s">
        <v>34</v>
      </c>
      <c r="C131" s="12" t="s">
        <v>35</v>
      </c>
      <c r="D131" s="13">
        <v>3000</v>
      </c>
      <c r="E131" s="13">
        <f>D131/7.5345</f>
        <v>398.1684252438781</v>
      </c>
      <c r="F131" s="13">
        <v>0</v>
      </c>
      <c r="G131" s="186">
        <v>0</v>
      </c>
      <c r="H131" s="153"/>
      <c r="I131" s="85">
        <f t="shared" si="22"/>
        <v>0</v>
      </c>
      <c r="J131" s="13">
        <v>0</v>
      </c>
      <c r="K131" s="13">
        <v>0</v>
      </c>
      <c r="L131" s="13">
        <v>0</v>
      </c>
    </row>
    <row r="132" spans="1:12" ht="22.5">
      <c r="A132" s="12"/>
      <c r="B132" s="14" t="s">
        <v>36</v>
      </c>
      <c r="C132" s="14" t="s">
        <v>37</v>
      </c>
      <c r="D132" s="15">
        <v>3000</v>
      </c>
      <c r="E132" s="15">
        <f>D132/7.5345</f>
        <v>398.1684252438781</v>
      </c>
      <c r="F132" s="15">
        <v>0</v>
      </c>
      <c r="G132" s="187">
        <v>0</v>
      </c>
      <c r="H132" s="153"/>
      <c r="I132" s="85">
        <v>0</v>
      </c>
      <c r="J132" s="15">
        <v>0</v>
      </c>
      <c r="K132" s="15">
        <v>0</v>
      </c>
      <c r="L132" s="15">
        <v>0</v>
      </c>
    </row>
    <row r="133" spans="1:12" ht="12.75">
      <c r="A133" s="9"/>
      <c r="B133" s="183" t="s">
        <v>73</v>
      </c>
      <c r="C133" s="153"/>
      <c r="D133" s="10"/>
      <c r="E133" s="10"/>
      <c r="F133" s="10"/>
      <c r="G133" s="184"/>
      <c r="H133" s="153"/>
      <c r="I133" s="85"/>
      <c r="J133" s="10"/>
      <c r="K133" s="10"/>
      <c r="L133" s="10"/>
    </row>
    <row r="134" spans="1:12" ht="12.75">
      <c r="A134" s="9" t="s">
        <v>74</v>
      </c>
      <c r="B134" s="183" t="s">
        <v>75</v>
      </c>
      <c r="C134" s="153"/>
      <c r="D134" s="11">
        <f>D137</f>
        <v>4612.43</v>
      </c>
      <c r="E134" s="11">
        <f>D134/7.535</f>
        <v>612.1340411413404</v>
      </c>
      <c r="F134" s="11">
        <v>7000</v>
      </c>
      <c r="G134" s="185">
        <v>7.08</v>
      </c>
      <c r="H134" s="153"/>
      <c r="I134" s="85">
        <f t="shared" si="22"/>
        <v>929.0596589023824</v>
      </c>
      <c r="J134" s="11">
        <v>1260</v>
      </c>
      <c r="K134" s="11">
        <f>7007.08/7.5345</f>
        <v>929.9993363859579</v>
      </c>
      <c r="L134" s="11">
        <f>7007.08/7.5345</f>
        <v>929.9993363859579</v>
      </c>
    </row>
    <row r="135" spans="1:12" ht="12.75">
      <c r="A135" s="12"/>
      <c r="B135" s="12" t="s">
        <v>17</v>
      </c>
      <c r="C135" s="12" t="s">
        <v>18</v>
      </c>
      <c r="D135" s="13">
        <v>0</v>
      </c>
      <c r="E135" s="13">
        <v>0</v>
      </c>
      <c r="F135" s="13">
        <v>3000</v>
      </c>
      <c r="G135" s="186">
        <v>13.8</v>
      </c>
      <c r="H135" s="153"/>
      <c r="I135" s="85">
        <f t="shared" si="22"/>
        <v>398.1684252438781</v>
      </c>
      <c r="J135" s="13">
        <f aca="true" t="shared" si="23" ref="J135:L136">3013.8/7.5345</f>
        <v>400</v>
      </c>
      <c r="K135" s="13">
        <f t="shared" si="23"/>
        <v>400</v>
      </c>
      <c r="L135" s="13">
        <f t="shared" si="23"/>
        <v>400</v>
      </c>
    </row>
    <row r="136" spans="1:12" ht="12.75">
      <c r="A136" s="12"/>
      <c r="B136" s="14" t="s">
        <v>19</v>
      </c>
      <c r="C136" s="14" t="s">
        <v>20</v>
      </c>
      <c r="D136" s="15">
        <v>0</v>
      </c>
      <c r="E136" s="15">
        <v>0</v>
      </c>
      <c r="F136" s="15">
        <v>3000</v>
      </c>
      <c r="G136" s="187">
        <v>13.8</v>
      </c>
      <c r="H136" s="153"/>
      <c r="I136" s="85">
        <f t="shared" si="22"/>
        <v>398.1684252438781</v>
      </c>
      <c r="J136" s="15">
        <f t="shared" si="23"/>
        <v>400</v>
      </c>
      <c r="K136" s="15">
        <f t="shared" si="23"/>
        <v>400</v>
      </c>
      <c r="L136" s="15">
        <f t="shared" si="23"/>
        <v>400</v>
      </c>
    </row>
    <row r="137" spans="1:12" ht="12.75">
      <c r="A137" s="12"/>
      <c r="B137" s="12" t="s">
        <v>34</v>
      </c>
      <c r="C137" s="12" t="s">
        <v>35</v>
      </c>
      <c r="D137" s="13">
        <v>4612.43</v>
      </c>
      <c r="E137" s="13">
        <f>D137/7.5345</f>
        <v>612.1746632158737</v>
      </c>
      <c r="F137" s="13">
        <v>4000</v>
      </c>
      <c r="G137" s="186">
        <v>-6.72</v>
      </c>
      <c r="H137" s="153"/>
      <c r="I137" s="85">
        <f t="shared" si="22"/>
        <v>530.8912336585042</v>
      </c>
      <c r="J137" s="13">
        <v>830</v>
      </c>
      <c r="K137" s="13">
        <f aca="true" t="shared" si="24" ref="J137:L138">3993.28/7.5345</f>
        <v>529.9993363859579</v>
      </c>
      <c r="L137" s="13">
        <f t="shared" si="24"/>
        <v>529.9993363859579</v>
      </c>
    </row>
    <row r="138" spans="1:12" ht="22.5">
      <c r="A138" s="12"/>
      <c r="B138" s="14" t="s">
        <v>36</v>
      </c>
      <c r="C138" s="14" t="s">
        <v>37</v>
      </c>
      <c r="D138" s="15">
        <v>4612.43</v>
      </c>
      <c r="E138" s="15">
        <f>D138/7.5345</f>
        <v>612.1746632158737</v>
      </c>
      <c r="F138" s="15">
        <v>4000</v>
      </c>
      <c r="G138" s="187">
        <v>-6.72</v>
      </c>
      <c r="H138" s="153"/>
      <c r="I138" s="85">
        <f t="shared" si="22"/>
        <v>530.8912336585042</v>
      </c>
      <c r="J138" s="15">
        <f t="shared" si="24"/>
        <v>529.9993363859579</v>
      </c>
      <c r="K138" s="15">
        <f t="shared" si="24"/>
        <v>529.9993363859579</v>
      </c>
      <c r="L138" s="15">
        <f t="shared" si="24"/>
        <v>529.9993363859579</v>
      </c>
    </row>
    <row r="139" spans="1:12" ht="12.75">
      <c r="A139" s="63" t="s">
        <v>76</v>
      </c>
      <c r="B139" s="177" t="s">
        <v>77</v>
      </c>
      <c r="C139" s="178"/>
      <c r="D139" s="64">
        <f>D142</f>
        <v>187874.82</v>
      </c>
      <c r="E139" s="64">
        <f>D139/7.5345</f>
        <v>24935.273740792356</v>
      </c>
      <c r="F139" s="64">
        <v>149254.31</v>
      </c>
      <c r="G139" s="179">
        <v>-149254.31</v>
      </c>
      <c r="H139" s="178"/>
      <c r="I139" s="87">
        <f t="shared" si="22"/>
        <v>19809.451191187203</v>
      </c>
      <c r="J139" s="64">
        <v>0</v>
      </c>
      <c r="K139" s="64">
        <v>0</v>
      </c>
      <c r="L139" s="64">
        <v>0</v>
      </c>
    </row>
    <row r="140" spans="1:12" ht="12.75">
      <c r="A140" s="7"/>
      <c r="B140" s="180"/>
      <c r="C140" s="181"/>
      <c r="D140" s="8"/>
      <c r="E140" s="8"/>
      <c r="F140" s="8"/>
      <c r="G140" s="182"/>
      <c r="H140" s="181"/>
      <c r="I140" s="85"/>
      <c r="J140" s="8"/>
      <c r="K140" s="8"/>
      <c r="L140" s="8"/>
    </row>
    <row r="141" spans="1:12" ht="12.75">
      <c r="A141" s="9"/>
      <c r="B141" s="183" t="s">
        <v>31</v>
      </c>
      <c r="C141" s="153"/>
      <c r="D141" s="10"/>
      <c r="E141" s="10"/>
      <c r="F141" s="10"/>
      <c r="G141" s="184"/>
      <c r="H141" s="153"/>
      <c r="I141" s="85"/>
      <c r="J141" s="10"/>
      <c r="K141" s="10"/>
      <c r="L141" s="10"/>
    </row>
    <row r="142" spans="1:12" ht="12.75">
      <c r="A142" s="9" t="s">
        <v>78</v>
      </c>
      <c r="B142" s="183" t="s">
        <v>79</v>
      </c>
      <c r="C142" s="153"/>
      <c r="D142" s="11">
        <f>D143</f>
        <v>187874.82</v>
      </c>
      <c r="E142" s="11">
        <f>D142/7.5345</f>
        <v>24935.273740792356</v>
      </c>
      <c r="F142" s="11">
        <v>149254.31</v>
      </c>
      <c r="G142" s="185">
        <v>-149254.31</v>
      </c>
      <c r="H142" s="153"/>
      <c r="I142" s="85">
        <f t="shared" si="22"/>
        <v>19809.451191187203</v>
      </c>
      <c r="J142" s="11">
        <v>0</v>
      </c>
      <c r="K142" s="11">
        <v>0</v>
      </c>
      <c r="L142" s="11">
        <v>0</v>
      </c>
    </row>
    <row r="143" spans="1:12" ht="12.75">
      <c r="A143" s="12"/>
      <c r="B143" s="12" t="s">
        <v>17</v>
      </c>
      <c r="C143" s="12" t="s">
        <v>18</v>
      </c>
      <c r="D143" s="13">
        <f>D144+D145</f>
        <v>187874.82</v>
      </c>
      <c r="E143" s="13">
        <f>D143/7.5345</f>
        <v>24935.273740792356</v>
      </c>
      <c r="F143" s="13">
        <v>149254.31</v>
      </c>
      <c r="G143" s="186">
        <v>-149254.31</v>
      </c>
      <c r="H143" s="153"/>
      <c r="I143" s="85">
        <f t="shared" si="22"/>
        <v>19809.451191187203</v>
      </c>
      <c r="J143" s="13">
        <v>0</v>
      </c>
      <c r="K143" s="13">
        <v>0</v>
      </c>
      <c r="L143" s="13">
        <v>0</v>
      </c>
    </row>
    <row r="144" spans="1:12" ht="12.75">
      <c r="A144" s="12"/>
      <c r="B144" s="14" t="s">
        <v>27</v>
      </c>
      <c r="C144" s="14" t="s">
        <v>28</v>
      </c>
      <c r="D144" s="15">
        <v>181810</v>
      </c>
      <c r="E144" s="15">
        <f>D144/7.5345</f>
        <v>24130.33379786316</v>
      </c>
      <c r="F144" s="15">
        <v>140754.31</v>
      </c>
      <c r="G144" s="187">
        <v>-140754.31</v>
      </c>
      <c r="H144" s="153"/>
      <c r="I144" s="85">
        <f t="shared" si="22"/>
        <v>18681.307319662883</v>
      </c>
      <c r="J144" s="15">
        <v>0</v>
      </c>
      <c r="K144" s="15">
        <v>0</v>
      </c>
      <c r="L144" s="15">
        <v>0</v>
      </c>
    </row>
    <row r="145" spans="1:12" ht="12.75">
      <c r="A145" s="12"/>
      <c r="B145" s="14" t="s">
        <v>19</v>
      </c>
      <c r="C145" s="14" t="s">
        <v>20</v>
      </c>
      <c r="D145" s="15">
        <v>6064.82</v>
      </c>
      <c r="E145" s="15">
        <f>D145/7.5345</f>
        <v>804.9399429291923</v>
      </c>
      <c r="F145" s="15">
        <v>8500</v>
      </c>
      <c r="G145" s="187">
        <v>-8500</v>
      </c>
      <c r="H145" s="153"/>
      <c r="I145" s="85">
        <f t="shared" si="22"/>
        <v>1128.1438715243214</v>
      </c>
      <c r="J145" s="15">
        <v>0</v>
      </c>
      <c r="K145" s="15">
        <v>0</v>
      </c>
      <c r="L145" s="15">
        <v>0</v>
      </c>
    </row>
    <row r="146" spans="1:12" ht="12.75">
      <c r="A146" s="63" t="s">
        <v>80</v>
      </c>
      <c r="B146" s="177" t="s">
        <v>81</v>
      </c>
      <c r="C146" s="178"/>
      <c r="D146" s="64">
        <v>0</v>
      </c>
      <c r="E146" s="64">
        <v>0</v>
      </c>
      <c r="F146" s="64">
        <v>0</v>
      </c>
      <c r="G146" s="179">
        <v>156333.34</v>
      </c>
      <c r="H146" s="178"/>
      <c r="I146" s="87">
        <f t="shared" si="22"/>
        <v>0</v>
      </c>
      <c r="J146" s="64">
        <f>156333.34/7.5345</f>
        <v>20748.999933638595</v>
      </c>
      <c r="K146" s="64">
        <v>0</v>
      </c>
      <c r="L146" s="64">
        <v>0</v>
      </c>
    </row>
    <row r="147" spans="1:12" ht="12.75">
      <c r="A147" s="7"/>
      <c r="B147" s="180"/>
      <c r="C147" s="181"/>
      <c r="D147" s="8"/>
      <c r="E147" s="8"/>
      <c r="F147" s="8"/>
      <c r="G147" s="182"/>
      <c r="H147" s="181"/>
      <c r="I147" s="85"/>
      <c r="J147" s="8"/>
      <c r="K147" s="8"/>
      <c r="L147" s="8"/>
    </row>
    <row r="148" spans="1:12" ht="12.75">
      <c r="A148" s="9"/>
      <c r="B148" s="183" t="s">
        <v>31</v>
      </c>
      <c r="C148" s="153"/>
      <c r="D148" s="10"/>
      <c r="E148" s="10"/>
      <c r="F148" s="10"/>
      <c r="G148" s="184"/>
      <c r="H148" s="153"/>
      <c r="I148" s="85"/>
      <c r="J148" s="10"/>
      <c r="K148" s="10"/>
      <c r="L148" s="10"/>
    </row>
    <row r="149" spans="1:12" ht="12.75">
      <c r="A149" s="9" t="s">
        <v>82</v>
      </c>
      <c r="B149" s="183" t="s">
        <v>83</v>
      </c>
      <c r="C149" s="153"/>
      <c r="D149" s="11">
        <v>0</v>
      </c>
      <c r="E149" s="11">
        <v>0</v>
      </c>
      <c r="F149" s="11">
        <v>0</v>
      </c>
      <c r="G149" s="185">
        <v>156333.34</v>
      </c>
      <c r="H149" s="153"/>
      <c r="I149" s="85">
        <f t="shared" si="22"/>
        <v>0</v>
      </c>
      <c r="J149" s="11">
        <f>156333.34/7.5345</f>
        <v>20748.999933638595</v>
      </c>
      <c r="K149" s="11">
        <v>0</v>
      </c>
      <c r="L149" s="11">
        <v>0</v>
      </c>
    </row>
    <row r="150" spans="1:12" ht="12.75">
      <c r="A150" s="12"/>
      <c r="B150" s="12" t="s">
        <v>17</v>
      </c>
      <c r="C150" s="12" t="s">
        <v>18</v>
      </c>
      <c r="D150" s="13">
        <v>0</v>
      </c>
      <c r="E150" s="13">
        <v>0</v>
      </c>
      <c r="F150" s="13">
        <v>0</v>
      </c>
      <c r="G150" s="186">
        <v>156333.34</v>
      </c>
      <c r="H150" s="153"/>
      <c r="I150" s="85">
        <f t="shared" si="22"/>
        <v>0</v>
      </c>
      <c r="J150" s="13">
        <f>156333.34/7.5345</f>
        <v>20748.999933638595</v>
      </c>
      <c r="K150" s="13">
        <v>0</v>
      </c>
      <c r="L150" s="13">
        <v>0</v>
      </c>
    </row>
    <row r="151" spans="1:12" ht="12.75">
      <c r="A151" s="12"/>
      <c r="B151" s="14" t="s">
        <v>27</v>
      </c>
      <c r="C151" s="14" t="s">
        <v>28</v>
      </c>
      <c r="D151" s="15">
        <v>0</v>
      </c>
      <c r="E151" s="15">
        <v>0</v>
      </c>
      <c r="F151" s="15">
        <v>0</v>
      </c>
      <c r="G151" s="187">
        <v>149333.34</v>
      </c>
      <c r="H151" s="153"/>
      <c r="I151" s="85">
        <f t="shared" si="22"/>
        <v>0</v>
      </c>
      <c r="J151" s="15">
        <f>149333.34/7.5345</f>
        <v>19819.94027473621</v>
      </c>
      <c r="K151" s="15">
        <v>0</v>
      </c>
      <c r="L151" s="15">
        <v>0</v>
      </c>
    </row>
    <row r="152" spans="1:12" ht="12.75">
      <c r="A152" s="12"/>
      <c r="B152" s="14" t="s">
        <v>19</v>
      </c>
      <c r="C152" s="14" t="s">
        <v>20</v>
      </c>
      <c r="D152" s="15">
        <v>0</v>
      </c>
      <c r="E152" s="15">
        <v>0</v>
      </c>
      <c r="F152" s="15">
        <v>0</v>
      </c>
      <c r="G152" s="187">
        <v>7000</v>
      </c>
      <c r="H152" s="153"/>
      <c r="I152" s="85">
        <f t="shared" si="22"/>
        <v>0</v>
      </c>
      <c r="J152" s="15">
        <f>7000/7.5345</f>
        <v>929.0596589023824</v>
      </c>
      <c r="K152" s="15">
        <v>0</v>
      </c>
      <c r="L152" s="15">
        <v>0</v>
      </c>
    </row>
    <row r="153" spans="1:12" ht="12.75">
      <c r="A153" s="61" t="s">
        <v>84</v>
      </c>
      <c r="B153" s="188" t="s">
        <v>85</v>
      </c>
      <c r="C153" s="189"/>
      <c r="D153" s="62">
        <f>D139+D123+D107+D57+D52+D48+D43</f>
        <v>7344446.38</v>
      </c>
      <c r="E153" s="62">
        <f>D153/7.5345</f>
        <v>974775.5498042338</v>
      </c>
      <c r="F153" s="62">
        <v>6954585.87</v>
      </c>
      <c r="G153" s="190">
        <v>414825.7</v>
      </c>
      <c r="H153" s="189"/>
      <c r="I153" s="90">
        <f t="shared" si="22"/>
        <v>923032.1680270755</v>
      </c>
      <c r="J153" s="62">
        <v>978419</v>
      </c>
      <c r="K153" s="62">
        <v>957340</v>
      </c>
      <c r="L153" s="62">
        <v>957340</v>
      </c>
    </row>
    <row r="154" ht="409.5" customHeight="1" hidden="1">
      <c r="I154" s="60"/>
    </row>
    <row r="155" ht="18" customHeight="1">
      <c r="I155" s="60"/>
    </row>
    <row r="156" spans="1:12" ht="22.5">
      <c r="A156" s="191" t="s">
        <v>86</v>
      </c>
      <c r="B156" s="192"/>
      <c r="C156" s="193"/>
      <c r="D156" s="74" t="s">
        <v>171</v>
      </c>
      <c r="E156" s="74" t="s">
        <v>162</v>
      </c>
      <c r="F156" s="73" t="s">
        <v>172</v>
      </c>
      <c r="G156" s="194" t="s">
        <v>4</v>
      </c>
      <c r="H156" s="192"/>
      <c r="I156" s="72" t="s">
        <v>168</v>
      </c>
      <c r="J156" s="68" t="s">
        <v>87</v>
      </c>
      <c r="K156" s="68" t="s">
        <v>6</v>
      </c>
      <c r="L156" s="68" t="s">
        <v>7</v>
      </c>
    </row>
    <row r="157" spans="1:12" ht="12.75">
      <c r="A157" s="76" t="s">
        <v>88</v>
      </c>
      <c r="B157" s="195" t="s">
        <v>89</v>
      </c>
      <c r="C157" s="196"/>
      <c r="D157" s="69">
        <v>297181.88</v>
      </c>
      <c r="E157" s="69">
        <f>D157/7.5345</f>
        <v>39442.81372353839</v>
      </c>
      <c r="F157" s="69">
        <v>100067.99</v>
      </c>
      <c r="G157" s="197">
        <v>109315.77</v>
      </c>
      <c r="H157" s="198"/>
      <c r="I157" s="78">
        <f>F157/7.5345</f>
        <v>13281.304665206715</v>
      </c>
      <c r="J157" s="69">
        <f>209383.76/7.5345</f>
        <v>27790.000663614042</v>
      </c>
      <c r="K157" s="69">
        <v>10153</v>
      </c>
      <c r="L157" s="69">
        <v>10153</v>
      </c>
    </row>
    <row r="158" spans="1:12" ht="12.75">
      <c r="A158" s="76" t="s">
        <v>19</v>
      </c>
      <c r="B158" s="195" t="s">
        <v>90</v>
      </c>
      <c r="C158" s="196"/>
      <c r="D158" s="69">
        <v>174444.41</v>
      </c>
      <c r="E158" s="69">
        <f aca="true" t="shared" si="25" ref="E158:E167">D158/7.5345</f>
        <v>23152.752007432475</v>
      </c>
      <c r="F158" s="69">
        <v>144259.89</v>
      </c>
      <c r="G158" s="197">
        <v>-10733.48</v>
      </c>
      <c r="H158" s="198"/>
      <c r="I158" s="78">
        <f aca="true" t="shared" si="26" ref="I158:I167">F158/7.5345</f>
        <v>19146.57774238503</v>
      </c>
      <c r="J158" s="69">
        <f>133526.41/7.5345</f>
        <v>17722.00013272281</v>
      </c>
      <c r="K158" s="69">
        <f>133526.41/7.5345</f>
        <v>17722.00013272281</v>
      </c>
      <c r="L158" s="69">
        <f>133526.41/7.5345</f>
        <v>17722.00013272281</v>
      </c>
    </row>
    <row r="159" spans="1:12" ht="12.75">
      <c r="A159" s="76" t="s">
        <v>91</v>
      </c>
      <c r="B159" s="195" t="s">
        <v>92</v>
      </c>
      <c r="C159" s="196"/>
      <c r="D159" s="69">
        <v>637064</v>
      </c>
      <c r="E159" s="69">
        <f t="shared" si="25"/>
        <v>84552.92321985532</v>
      </c>
      <c r="F159" s="69">
        <v>731676.24</v>
      </c>
      <c r="G159" s="197">
        <v>-95078.8</v>
      </c>
      <c r="H159" s="198"/>
      <c r="I159" s="78">
        <f t="shared" si="26"/>
        <v>97110.12542305395</v>
      </c>
      <c r="J159" s="69">
        <v>84821</v>
      </c>
      <c r="K159" s="69">
        <f>636597.44/7.5345</f>
        <v>84491.00006636139</v>
      </c>
      <c r="L159" s="69">
        <f>636597.44/7.5345</f>
        <v>84491.00006636139</v>
      </c>
    </row>
    <row r="160" spans="1:12" ht="12.75">
      <c r="A160" s="76" t="s">
        <v>93</v>
      </c>
      <c r="B160" s="195" t="s">
        <v>94</v>
      </c>
      <c r="C160" s="196"/>
      <c r="D160" s="69">
        <v>29299.04</v>
      </c>
      <c r="E160" s="69">
        <f t="shared" si="25"/>
        <v>3888.6508726524653</v>
      </c>
      <c r="F160" s="69">
        <v>125686.99</v>
      </c>
      <c r="G160" s="197">
        <v>-102239.63</v>
      </c>
      <c r="H160" s="198"/>
      <c r="I160" s="78">
        <f t="shared" si="26"/>
        <v>16681.53029398102</v>
      </c>
      <c r="J160" s="69">
        <f>23447.36/7.5345</f>
        <v>3111.9994691087663</v>
      </c>
      <c r="K160" s="69">
        <v>0</v>
      </c>
      <c r="L160" s="69">
        <v>0</v>
      </c>
    </row>
    <row r="161" spans="1:12" ht="12.75">
      <c r="A161" s="76" t="s">
        <v>95</v>
      </c>
      <c r="B161" s="195" t="s">
        <v>96</v>
      </c>
      <c r="C161" s="196"/>
      <c r="D161" s="69">
        <v>5787605.42</v>
      </c>
      <c r="E161" s="69">
        <f t="shared" si="25"/>
        <v>768147.2453381113</v>
      </c>
      <c r="F161" s="69">
        <v>5367691</v>
      </c>
      <c r="G161" s="197">
        <v>649549.06</v>
      </c>
      <c r="H161" s="198"/>
      <c r="I161" s="78">
        <f t="shared" si="26"/>
        <v>712415.0242219125</v>
      </c>
      <c r="J161" s="69">
        <f>6017240.06/7.5345</f>
        <v>798624.9996681929</v>
      </c>
      <c r="K161" s="69">
        <f>6017240.06/7.5345</f>
        <v>798624.9996681929</v>
      </c>
      <c r="L161" s="69">
        <f>6017240.06/7.5345</f>
        <v>798624.9996681929</v>
      </c>
    </row>
    <row r="162" spans="1:12" ht="12.75">
      <c r="A162" s="76" t="s">
        <v>97</v>
      </c>
      <c r="B162" s="195" t="s">
        <v>98</v>
      </c>
      <c r="C162" s="196"/>
      <c r="D162" s="69">
        <v>98719.28</v>
      </c>
      <c r="E162" s="69">
        <f t="shared" si="25"/>
        <v>13102.300086269825</v>
      </c>
      <c r="F162" s="69">
        <v>120570</v>
      </c>
      <c r="G162" s="197">
        <v>6634.97</v>
      </c>
      <c r="H162" s="198"/>
      <c r="I162" s="78">
        <f t="shared" si="26"/>
        <v>16002.389010551462</v>
      </c>
      <c r="J162" s="69">
        <f>127204.97/7.5345</f>
        <v>16883.000862698253</v>
      </c>
      <c r="K162" s="69">
        <f>127204.97/7.5345</f>
        <v>16883.000862698253</v>
      </c>
      <c r="L162" s="69">
        <f>127204.97/7.5345</f>
        <v>16883.000862698253</v>
      </c>
    </row>
    <row r="163" spans="1:12" ht="12.75">
      <c r="A163" s="76" t="s">
        <v>99</v>
      </c>
      <c r="B163" s="195" t="s">
        <v>100</v>
      </c>
      <c r="C163" s="196"/>
      <c r="D163" s="69">
        <v>117926.14</v>
      </c>
      <c r="E163" s="69">
        <f t="shared" si="25"/>
        <v>15651.48848629637</v>
      </c>
      <c r="F163" s="69">
        <v>325683.76</v>
      </c>
      <c r="G163" s="197">
        <v>-123683.82</v>
      </c>
      <c r="H163" s="198"/>
      <c r="I163" s="78">
        <f t="shared" si="26"/>
        <v>43225.66328223505</v>
      </c>
      <c r="J163" s="69">
        <f>201999.94/7.5345</f>
        <v>26809.999336385958</v>
      </c>
      <c r="K163" s="69">
        <f>201999.94/7.5345</f>
        <v>26809.999336385958</v>
      </c>
      <c r="L163" s="69">
        <f>201999.94/7.5345</f>
        <v>26809.999336385958</v>
      </c>
    </row>
    <row r="164" spans="1:12" ht="12.75">
      <c r="A164" s="76" t="s">
        <v>101</v>
      </c>
      <c r="B164" s="195" t="s">
        <v>102</v>
      </c>
      <c r="C164" s="196"/>
      <c r="D164" s="69">
        <v>4947.31</v>
      </c>
      <c r="E164" s="69">
        <f t="shared" si="25"/>
        <v>656.6208772977636</v>
      </c>
      <c r="F164" s="69">
        <v>12000</v>
      </c>
      <c r="G164" s="197">
        <v>-992.1</v>
      </c>
      <c r="H164" s="198"/>
      <c r="I164" s="78">
        <f t="shared" si="26"/>
        <v>1592.6737009755125</v>
      </c>
      <c r="J164" s="69">
        <f>11007.9/7.5345</f>
        <v>1460.999402747362</v>
      </c>
      <c r="K164" s="69">
        <f>11007.9/7.5345</f>
        <v>1460.999402747362</v>
      </c>
      <c r="L164" s="69">
        <f>11007.9/7.5345</f>
        <v>1460.999402747362</v>
      </c>
    </row>
    <row r="165" spans="1:12" ht="12.75">
      <c r="A165" s="77" t="s">
        <v>103</v>
      </c>
      <c r="B165" s="199" t="s">
        <v>104</v>
      </c>
      <c r="C165" s="200"/>
      <c r="D165" s="69">
        <v>15561.05</v>
      </c>
      <c r="E165" s="69">
        <f t="shared" si="25"/>
        <v>2065.3062578804165</v>
      </c>
      <c r="F165" s="70">
        <v>26950</v>
      </c>
      <c r="G165" s="197">
        <v>-17946.27</v>
      </c>
      <c r="H165" s="198"/>
      <c r="I165" s="78">
        <f t="shared" si="26"/>
        <v>3576.879686774172</v>
      </c>
      <c r="J165" s="69">
        <f>9003.73/7.5345</f>
        <v>1195.000331807021</v>
      </c>
      <c r="K165" s="69">
        <f>9003.73/7.5345</f>
        <v>1195.000331807021</v>
      </c>
      <c r="L165" s="69">
        <f>9003.73/7.5345</f>
        <v>1195.000331807021</v>
      </c>
    </row>
    <row r="166" spans="1:12" ht="12.75">
      <c r="A166" s="66" t="s">
        <v>105</v>
      </c>
      <c r="B166" s="201"/>
      <c r="C166" s="202"/>
      <c r="D166" s="67">
        <v>7162748.53</v>
      </c>
      <c r="E166" s="75">
        <f t="shared" si="25"/>
        <v>950660.1008693344</v>
      </c>
      <c r="F166" s="71">
        <v>6954585.87</v>
      </c>
      <c r="G166" s="203">
        <v>414825.7</v>
      </c>
      <c r="H166" s="202"/>
      <c r="I166" s="79">
        <f t="shared" si="26"/>
        <v>923032.1680270755</v>
      </c>
      <c r="J166" s="71">
        <f>J157+J158+J159+J160+J161+J162+J163+J164+J165</f>
        <v>978418.9998672773</v>
      </c>
      <c r="K166" s="71">
        <f>SUM(K157:K165)</f>
        <v>957339.9998009158</v>
      </c>
      <c r="L166" s="71">
        <f>SUM(L157:L165)</f>
        <v>957339.9998009158</v>
      </c>
    </row>
    <row r="167" spans="5:9" ht="409.5" customHeight="1" hidden="1">
      <c r="E167" s="16">
        <f t="shared" si="25"/>
        <v>0</v>
      </c>
      <c r="I167">
        <f t="shared" si="26"/>
        <v>0</v>
      </c>
    </row>
  </sheetData>
  <sheetProtection/>
  <mergeCells count="217">
    <mergeCell ref="B164:C164"/>
    <mergeCell ref="G164:H164"/>
    <mergeCell ref="B165:C165"/>
    <mergeCell ref="G165:H165"/>
    <mergeCell ref="B166:C166"/>
    <mergeCell ref="G166:H166"/>
    <mergeCell ref="B161:C161"/>
    <mergeCell ref="G161:H161"/>
    <mergeCell ref="B162:C162"/>
    <mergeCell ref="G162:H162"/>
    <mergeCell ref="B163:C163"/>
    <mergeCell ref="G163:H163"/>
    <mergeCell ref="B158:C158"/>
    <mergeCell ref="G158:H158"/>
    <mergeCell ref="B159:C159"/>
    <mergeCell ref="G159:H159"/>
    <mergeCell ref="B160:C160"/>
    <mergeCell ref="G160:H160"/>
    <mergeCell ref="G152:H152"/>
    <mergeCell ref="B153:C153"/>
    <mergeCell ref="G153:H153"/>
    <mergeCell ref="A156:C156"/>
    <mergeCell ref="G156:H156"/>
    <mergeCell ref="B157:C157"/>
    <mergeCell ref="G157:H157"/>
    <mergeCell ref="B148:C148"/>
    <mergeCell ref="G148:H148"/>
    <mergeCell ref="B149:C149"/>
    <mergeCell ref="G149:H149"/>
    <mergeCell ref="G150:H150"/>
    <mergeCell ref="G151:H151"/>
    <mergeCell ref="G143:H143"/>
    <mergeCell ref="G144:H144"/>
    <mergeCell ref="G145:H145"/>
    <mergeCell ref="B146:C146"/>
    <mergeCell ref="G146:H146"/>
    <mergeCell ref="B147:C147"/>
    <mergeCell ref="G147:H147"/>
    <mergeCell ref="B140:C140"/>
    <mergeCell ref="G140:H140"/>
    <mergeCell ref="B141:C141"/>
    <mergeCell ref="G141:H141"/>
    <mergeCell ref="B142:C142"/>
    <mergeCell ref="G142:H142"/>
    <mergeCell ref="G135:H135"/>
    <mergeCell ref="G136:H136"/>
    <mergeCell ref="G137:H137"/>
    <mergeCell ref="G138:H138"/>
    <mergeCell ref="B139:C139"/>
    <mergeCell ref="G139:H139"/>
    <mergeCell ref="G131:H131"/>
    <mergeCell ref="G132:H132"/>
    <mergeCell ref="B133:C133"/>
    <mergeCell ref="G133:H133"/>
    <mergeCell ref="B134:C134"/>
    <mergeCell ref="G134:H134"/>
    <mergeCell ref="G127:H127"/>
    <mergeCell ref="G128:H128"/>
    <mergeCell ref="B129:C129"/>
    <mergeCell ref="G129:H129"/>
    <mergeCell ref="B130:C130"/>
    <mergeCell ref="G130:H130"/>
    <mergeCell ref="B124:C124"/>
    <mergeCell ref="G124:H124"/>
    <mergeCell ref="B125:C125"/>
    <mergeCell ref="G125:H125"/>
    <mergeCell ref="B126:C126"/>
    <mergeCell ref="G126:H126"/>
    <mergeCell ref="B120:C120"/>
    <mergeCell ref="G120:H120"/>
    <mergeCell ref="G121:H121"/>
    <mergeCell ref="G122:H122"/>
    <mergeCell ref="B123:C123"/>
    <mergeCell ref="G123:H123"/>
    <mergeCell ref="B117:C117"/>
    <mergeCell ref="G117:H117"/>
    <mergeCell ref="B118:C118"/>
    <mergeCell ref="G118:H118"/>
    <mergeCell ref="B119:C119"/>
    <mergeCell ref="G119:H119"/>
    <mergeCell ref="B113:C113"/>
    <mergeCell ref="G113:H113"/>
    <mergeCell ref="B114:C114"/>
    <mergeCell ref="G114:H114"/>
    <mergeCell ref="G115:H115"/>
    <mergeCell ref="G116:H116"/>
    <mergeCell ref="B109:C109"/>
    <mergeCell ref="G109:H109"/>
    <mergeCell ref="B110:C110"/>
    <mergeCell ref="G110:H110"/>
    <mergeCell ref="G111:H111"/>
    <mergeCell ref="G112:H112"/>
    <mergeCell ref="G105:H105"/>
    <mergeCell ref="G106:H106"/>
    <mergeCell ref="B107:C107"/>
    <mergeCell ref="G107:H107"/>
    <mergeCell ref="B108:C108"/>
    <mergeCell ref="G108:H108"/>
    <mergeCell ref="G101:H101"/>
    <mergeCell ref="G102:H102"/>
    <mergeCell ref="B103:C103"/>
    <mergeCell ref="G103:H103"/>
    <mergeCell ref="B104:C104"/>
    <mergeCell ref="G104:H104"/>
    <mergeCell ref="G96:H96"/>
    <mergeCell ref="G97:H97"/>
    <mergeCell ref="G98:H98"/>
    <mergeCell ref="B99:C99"/>
    <mergeCell ref="G99:H99"/>
    <mergeCell ref="B100:C100"/>
    <mergeCell ref="G100:H100"/>
    <mergeCell ref="G92:H92"/>
    <mergeCell ref="B93:C93"/>
    <mergeCell ref="G93:H93"/>
    <mergeCell ref="B94:C94"/>
    <mergeCell ref="G94:H94"/>
    <mergeCell ref="G95:H95"/>
    <mergeCell ref="B87:C87"/>
    <mergeCell ref="G87:H87"/>
    <mergeCell ref="G88:H88"/>
    <mergeCell ref="G89:H89"/>
    <mergeCell ref="G90:H90"/>
    <mergeCell ref="G91:H91"/>
    <mergeCell ref="G81:H81"/>
    <mergeCell ref="G82:H82"/>
    <mergeCell ref="G83:H83"/>
    <mergeCell ref="G84:H84"/>
    <mergeCell ref="G85:H85"/>
    <mergeCell ref="B86:C86"/>
    <mergeCell ref="G86:H86"/>
    <mergeCell ref="G77:H77"/>
    <mergeCell ref="G78:H78"/>
    <mergeCell ref="B79:C79"/>
    <mergeCell ref="G79:H79"/>
    <mergeCell ref="B80:C80"/>
    <mergeCell ref="G80:H80"/>
    <mergeCell ref="G72:H72"/>
    <mergeCell ref="G73:H73"/>
    <mergeCell ref="G74:H74"/>
    <mergeCell ref="B75:C75"/>
    <mergeCell ref="G75:H75"/>
    <mergeCell ref="B76:C76"/>
    <mergeCell ref="G76:H76"/>
    <mergeCell ref="G68:H68"/>
    <mergeCell ref="G69:H69"/>
    <mergeCell ref="B70:C70"/>
    <mergeCell ref="G70:H70"/>
    <mergeCell ref="B71:C71"/>
    <mergeCell ref="G71:H71"/>
    <mergeCell ref="G63:H63"/>
    <mergeCell ref="G64:H64"/>
    <mergeCell ref="G65:H65"/>
    <mergeCell ref="B66:C66"/>
    <mergeCell ref="G66:H66"/>
    <mergeCell ref="B67:C67"/>
    <mergeCell ref="G67:H67"/>
    <mergeCell ref="B59:C59"/>
    <mergeCell ref="G59:H59"/>
    <mergeCell ref="B60:C60"/>
    <mergeCell ref="G60:H60"/>
    <mergeCell ref="G61:H61"/>
    <mergeCell ref="G62:H62"/>
    <mergeCell ref="G54:H54"/>
    <mergeCell ref="G55:H55"/>
    <mergeCell ref="G56:H56"/>
    <mergeCell ref="B57:C57"/>
    <mergeCell ref="G57:H57"/>
    <mergeCell ref="B58:C58"/>
    <mergeCell ref="G58:H58"/>
    <mergeCell ref="G50:H50"/>
    <mergeCell ref="B51:C51"/>
    <mergeCell ref="G51:H51"/>
    <mergeCell ref="B52:C52"/>
    <mergeCell ref="G52:H52"/>
    <mergeCell ref="G53:H53"/>
    <mergeCell ref="G46:H46"/>
    <mergeCell ref="B47:C47"/>
    <mergeCell ref="G47:H47"/>
    <mergeCell ref="B48:C48"/>
    <mergeCell ref="G48:H48"/>
    <mergeCell ref="G49:H49"/>
    <mergeCell ref="B42:C42"/>
    <mergeCell ref="G42:H42"/>
    <mergeCell ref="B43:C43"/>
    <mergeCell ref="G43:H43"/>
    <mergeCell ref="G44:H44"/>
    <mergeCell ref="G45:H45"/>
    <mergeCell ref="B39:C39"/>
    <mergeCell ref="G39:H39"/>
    <mergeCell ref="B40:C40"/>
    <mergeCell ref="G40:H40"/>
    <mergeCell ref="B41:C41"/>
    <mergeCell ref="G41:H41"/>
    <mergeCell ref="B38:C38"/>
    <mergeCell ref="G38:H38"/>
    <mergeCell ref="F6:G6"/>
    <mergeCell ref="F7:G7"/>
    <mergeCell ref="F8:G8"/>
    <mergeCell ref="F9:G9"/>
    <mergeCell ref="F12:G12"/>
    <mergeCell ref="F13:G13"/>
    <mergeCell ref="F17:G17"/>
    <mergeCell ref="F18:G18"/>
    <mergeCell ref="F19:G19"/>
    <mergeCell ref="F20:G20"/>
    <mergeCell ref="G36:H36"/>
    <mergeCell ref="G37:H37"/>
    <mergeCell ref="F10:G10"/>
    <mergeCell ref="F11:G11"/>
    <mergeCell ref="F14:G14"/>
    <mergeCell ref="F23:G23"/>
    <mergeCell ref="A1:G1"/>
    <mergeCell ref="G35:H35"/>
    <mergeCell ref="A3:L3"/>
    <mergeCell ref="F24:G24"/>
    <mergeCell ref="F15:G15"/>
    <mergeCell ref="F16:G16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2022-09-27T10:27:12Z</dcterms:created>
  <dcterms:modified xsi:type="dcterms:W3CDTF">2022-12-23T06:53:21Z</dcterms:modified>
  <cp:category/>
  <cp:version/>
  <cp:contentType/>
  <cp:contentStatus/>
</cp:coreProperties>
</file>